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11" windowWidth="18405" windowHeight="12195" activeTab="0"/>
  </bookViews>
  <sheets>
    <sheet name="прил_4" sheetId="1" r:id="rId1"/>
    <sheet name="расчет_показ" sheetId="2" r:id="rId2"/>
  </sheets>
  <externalReferences>
    <externalReference r:id="rId5"/>
  </externalReferences>
  <definedNames>
    <definedName name="_xlnm._FilterDatabase" localSheetId="0" hidden="1">'прил_4'!$A$21:$U$353</definedName>
    <definedName name="_xlnm.Print_Titles" localSheetId="0">'прил_4'!$19:$21</definedName>
    <definedName name="_xlnm.Print_Titles" localSheetId="1">'расчет_показ'!$11:$14</definedName>
    <definedName name="_xlnm.Print_Area" localSheetId="0">'прил_4'!$A$1:$T$375</definedName>
    <definedName name="_xlnm.Print_Area" localSheetId="1">'расчет_показ'!$A$1:$M$131</definedName>
  </definedNames>
  <calcPr fullCalcOnLoad="1"/>
</workbook>
</file>

<file path=xl/comments1.xml><?xml version="1.0" encoding="utf-8"?>
<comments xmlns="http://schemas.openxmlformats.org/spreadsheetml/2006/main">
  <authors>
    <author>Zavackayamv</author>
  </authors>
  <commentList>
    <comment ref="M249" authorId="0">
      <text>
        <r>
          <rPr>
            <b/>
            <sz val="8"/>
            <rFont val="Tahoma"/>
            <family val="2"/>
          </rPr>
          <t>Zavackayamv:</t>
        </r>
        <r>
          <rPr>
            <sz val="8"/>
            <rFont val="Tahoma"/>
            <family val="2"/>
          </rPr>
          <t xml:space="preserve">
1 проект - квартал
1 проект - часть территории квартала, поэтому на показатель 1 влияет по одному кварталу ежегодно
</t>
        </r>
      </text>
    </comment>
  </commentList>
</comments>
</file>

<file path=xl/comments2.xml><?xml version="1.0" encoding="utf-8"?>
<comments xmlns="http://schemas.openxmlformats.org/spreadsheetml/2006/main">
  <authors>
    <author>zavackayamv</author>
    <author>Zavackayamv</author>
  </authors>
  <commentList>
    <comment ref="D91" authorId="0">
      <text>
        <r>
          <rPr>
            <b/>
            <sz val="8"/>
            <rFont val="Tahoma"/>
            <family val="2"/>
          </rPr>
          <t>zavackayamv:</t>
        </r>
        <r>
          <rPr>
            <sz val="8"/>
            <rFont val="Tahoma"/>
            <family val="2"/>
          </rPr>
          <t xml:space="preserve">
СВЕРЕНО с ОФКиС форма 1ФК</t>
        </r>
      </text>
    </comment>
    <comment ref="D101" authorId="0">
      <text>
        <r>
          <rPr>
            <b/>
            <sz val="8"/>
            <rFont val="Tahoma"/>
            <family val="2"/>
          </rPr>
          <t>zavackayamv:</t>
        </r>
        <r>
          <rPr>
            <sz val="8"/>
            <rFont val="Tahoma"/>
            <family val="2"/>
          </rPr>
          <t xml:space="preserve">
Сверено с отделом строительства и архитектуры</t>
        </r>
      </text>
    </comment>
    <comment ref="J43" authorId="1">
      <text>
        <r>
          <rPr>
            <b/>
            <sz val="8"/>
            <rFont val="Tahoma"/>
            <family val="2"/>
          </rPr>
          <t>Zavackayamv:</t>
        </r>
        <r>
          <rPr>
            <sz val="8"/>
            <rFont val="Tahoma"/>
            <family val="2"/>
          </rPr>
          <t xml:space="preserve">
+ бассейн
</t>
        </r>
      </text>
    </comment>
    <comment ref="M43" authorId="1">
      <text>
        <r>
          <rPr>
            <b/>
            <sz val="8"/>
            <rFont val="Tahoma"/>
            <family val="2"/>
          </rPr>
          <t>Zavackayamv:</t>
        </r>
        <r>
          <rPr>
            <sz val="8"/>
            <rFont val="Tahoma"/>
            <family val="2"/>
          </rPr>
          <t xml:space="preserve">
+ лыжн. база</t>
        </r>
      </text>
    </comment>
  </commentList>
</comments>
</file>

<file path=xl/sharedStrings.xml><?xml version="1.0" encoding="utf-8"?>
<sst xmlns="http://schemas.openxmlformats.org/spreadsheetml/2006/main" count="1469" uniqueCount="453">
  <si>
    <t>Мероприятие 2.11 «Проектирование и строительство объекта «Детский сад 
на 280 мест в 162 квартале города Северодвинска Архангельской области»</t>
  </si>
  <si>
    <t>Показатель 2 «Количество документов по описанию и установлению 
на местности местоположения границ населенных пунктов»</t>
  </si>
  <si>
    <t>Показатель 2  «Площадь земельных участков, предоставленных 
для строительства, в расчете на 10 тыс. чел. населения»</t>
  </si>
  <si>
    <t>Показатель 1 «Количество выданных архитектурно-планировочных заданий 
(в год)»</t>
  </si>
  <si>
    <t>Административное мероприятие 2.02 «Выдача разрешений (ордеров) 
на проведение (производство) земляных работ»</t>
  </si>
  <si>
    <t>Административное мероприятие 2.05 «Предоставление сведений 
из информационной системы обеспечения градостроительной деятельности»</t>
  </si>
  <si>
    <t>Показатель 1 «Количество рассмотренных заявлений о предоставлении сведений 
из информационной системы обеспечения градостроительной деятельности 
(в год)»</t>
  </si>
  <si>
    <t>Показатель 1 «Количество рассмотренных заявлений физических 
и юридических лиц о внесении изменений в правила землепользования 
и застройки (в год)»</t>
  </si>
  <si>
    <t>Возврат средств государственной корпорации - Фонда содействия реформированию жилищно-коммунального хозяйства и средств областного бюджета, предоставленных муниципальному образованию "Северодвинск" в рамках обеспечения мероприятий по переселению граждан из аварийного жилищного фонда</t>
  </si>
  <si>
    <t>Мероприятие 1.17 «Выполнение работ по обоснованию инвестиционных проектов в сфере дорожного хозяйства»</t>
  </si>
  <si>
    <t>Мероприятие 2.05 «Проектирование кладбища, расположенного на территории муниципального образования «Северодвинск»</t>
  </si>
  <si>
    <t>Мероприятие 2.13 «Строительство спортивного комплекса на стадионе «Север»  в г. Северодвинске (1 этап)»</t>
  </si>
  <si>
    <t>Показатель 3 «Общая площадь введенного в эксплуатацию здания»</t>
  </si>
  <si>
    <t>Показатель 2 «Площадь застройки»</t>
  </si>
  <si>
    <t>Показатель 1 «Объем  работ по устройству земляного полотна»</t>
  </si>
  <si>
    <t>Показатель 4 «Площадь первого нижнего слоя асфальтобетонного покрытия»</t>
  </si>
  <si>
    <t>Мероприятие 1.23 «Проектирование и строительство пешеходных мостов через реки Кудьма и Ширшема»</t>
  </si>
  <si>
    <t>Показатель 2  «Протяженность пешеходных мостов»</t>
  </si>
  <si>
    <t>Показатель 3 «Протяженность мостового перехода»</t>
  </si>
  <si>
    <t>Показатель 1 «Количество рассмотренных заявлений физических 
и юридических лиц о подготовке документации по планировке территории 
(в год)»</t>
  </si>
  <si>
    <t>Показатель 1 «Количество рассмотренных заявлений физических и юридических лиц о внесении изменений в генеральный план Северодвинска 
(в год)»</t>
  </si>
  <si>
    <t>Административное мероприятие 2.10 «Подготовка и выдача разрешений 
на условно разрешенный вид использования земельных участков или объектов капитального строительства»</t>
  </si>
  <si>
    <t>Показатель 1 «Доля  средств федерального бюджета, выделенных муниципальному образованию «Северодвинск» в рамках  государственной программы Российской Федерации «Обеспечение доступным и комфортным жильем и коммунальными услугами граждан Российской Федерации» 
(в процентах от общего объема средств федерального бюджета, выделенных муниципальным образованиям Архангельской области)»</t>
  </si>
  <si>
    <t>Административное  мероприятие 1.01 «Утверждение правовых актов 
по включению молодых семей в число участников подпрограммы»</t>
  </si>
  <si>
    <t>Мероприятие 1.03 «Предоставление социальных выплат молодым семьям 
(в рамках текущего финансового года)»</t>
  </si>
  <si>
    <t xml:space="preserve">Показатель 1 «Количество выданных свидетельств со сроком действия 
за пределами отчетного года» </t>
  </si>
  <si>
    <t>Показатель 2 «Доля семей, получивших субсидии на строительство 
и приобретение жилья в отчетном году, от общего числа семей, состоящих 
на учете для получения субсидии»</t>
  </si>
  <si>
    <t>Показатель 2 «Доля детей-сирот, детей, оставшихся без попечения родителей, 
и лиц из их числа, обеспеченных жилыми помещениями, от нуждающихся 
(в год)»</t>
  </si>
  <si>
    <t>Показатель 1 «Количество детей-сирот, обеспеченных жилыми помещениями 
(в год)»</t>
  </si>
  <si>
    <t>Административное мероприятие 2.01 «Размещение и обновление информации 
о ходе реализации программы переселения на официальном интернет-сайте Администрации Северодвинска»</t>
  </si>
  <si>
    <t>Мероприятие 1.02 «Выплата бюджетных средств, предусмотренных 
на исполнение судебных актов о предоставлении жилых помещений гражданам, 
с которыми заключены договоры социального найма жилых помещений, признанных непригодными для проживания»</t>
  </si>
  <si>
    <t>Показатель 1 «Количество  семей, улучшивших жилищные условия путем реализации государственных жилищных сертификатов (в год)»</t>
  </si>
  <si>
    <t>Показатель 1 «Количество проектной документации»</t>
  </si>
  <si>
    <t>Показатель 1  «Количество проектной документации»</t>
  </si>
  <si>
    <t>Показатель 2  «Протяженность ливневой канализации»</t>
  </si>
  <si>
    <t>Показатель 1 «Количество проектов в год»</t>
  </si>
  <si>
    <t>Показатель 1 «Количество земельных участков, в отношении которых  сформирована документация об изъятии»</t>
  </si>
  <si>
    <t>Показатель 2 «Обеспеченность территории муниципального образования «Северодвинск» муниципальными инженерными сетями»</t>
  </si>
  <si>
    <t>Обеспечивающая подпрограмма</t>
  </si>
  <si>
    <t>2. Административные мероприятия</t>
  </si>
  <si>
    <t>Показатель  «Количество обновлений»</t>
  </si>
  <si>
    <t>единиц</t>
  </si>
  <si>
    <t xml:space="preserve">Административное мероприятие 2.02 «Формирование отчета о расходовании средств Фонда, областного бюджета и местного бюджета на реализацию программы переселения согласно договору от 29.07.2013 № 17ФП-13» </t>
  </si>
  <si>
    <t>Показатель  «Количество отчетов»</t>
  </si>
  <si>
    <t xml:space="preserve">Мероприятие 1.03 «Предоставление гражданам субсидий на оплату жилого помещения и коммунальных услуг (в части субвенций местным бюджетам)» </t>
  </si>
  <si>
    <t>Показатель 2 «Протяженность выкупленной тепловой сети (нарастающим итогом)»</t>
  </si>
  <si>
    <t>Мероприятие 1.22 «Завершение строительства мостового перехода через реку Малая Кудьма на Солзенском шоссе в г. Северодвинске Архангельской области»</t>
  </si>
  <si>
    <t>Показатель 3 «Выкупленная площадь земельного участка (нарастающим итогом)»</t>
  </si>
  <si>
    <t>утвержденной постановлением Администрации Северодвинска</t>
  </si>
  <si>
    <t>Мероприятие 1.02 «Технологическое присоединение к инженерным сетям многоквартирных домов»</t>
  </si>
  <si>
    <t>Подпрограмма 2 «Развитие инженерной и социальной инфраструктуры»</t>
  </si>
  <si>
    <t>Административное мероприятие 2.01 «Подготовка и выдача архитектурно-планировочных заданий»</t>
  </si>
  <si>
    <t>Ответственный исполнитель: Управление градостроительства и земельных отношений Администрации Северодвинска.</t>
  </si>
  <si>
    <t>Административное мероприятие 2.12 «Подготовка и выдача градостроительного плана земельного участка»</t>
  </si>
  <si>
    <t>Подпрограмма 4 «Обеспечение жильем молодых семей»</t>
  </si>
  <si>
    <t>Подпрограмма 5 «Повышение уровня обеспеченности жильем жителей Северодвинска, нуждающихся в улучшении жилищных условий»</t>
  </si>
  <si>
    <t>Подпрограмма 1 «Содействие развитию жилищного строительства Северодвинска»</t>
  </si>
  <si>
    <t>Задача 1 «Обеспечение условий для строительства жилья в Северодвинске»</t>
  </si>
  <si>
    <t>Показатель 1 «Площадь выкупаемых у собственников жилых помещений»</t>
  </si>
  <si>
    <t>Показатель 1 «Количество контрактов на корректировку проектной документации»</t>
  </si>
  <si>
    <t>Показатель 2 «Площадь восстановленного асфальтобетонного покрытия»</t>
  </si>
  <si>
    <t>Задача 2 «Переселение граждан из аварийного жилищного фонда»</t>
  </si>
  <si>
    <t>Отношение площади земельных участков, предоставленных для строительства в год к среднегодовой численности населения Северодвинска, умноженное на 10 000</t>
  </si>
  <si>
    <t>Показатель 1 «Количество семей, улучшивших жилищные условия за счет получения субсидии из местного бюджета»</t>
  </si>
  <si>
    <t xml:space="preserve">Задача 2 «Реализация градостроительной политики» </t>
  </si>
  <si>
    <t>Подпрограмма 3 «Развитие градостроительства»</t>
  </si>
  <si>
    <t>Мероприятие 1.01 «Проектирование и строительство многоквартирных домов»</t>
  </si>
  <si>
    <t>Мероприятие 1.01 «Разработка проекта генерального плана г. Северодвинска»</t>
  </si>
  <si>
    <t>Административное мероприятие 2.03 «Подготовка проектов постановлений Администрации Северодвинска о предоставлении жилых помещений детям-сиротам, детям, оставшимся без попечения родителей, и лицам из их числа»</t>
  </si>
  <si>
    <t>Показатель 1  «Количество кадастровых паспортов»</t>
  </si>
  <si>
    <t>Мероприятие 1.09 «Проектирование и строительство инженерных сетей»</t>
  </si>
  <si>
    <t>Показатель 3 «Количество контрактов на выполнение работ по корректировке проектной документации»</t>
  </si>
  <si>
    <t>Показатель 2  «Площадь установленного каркасно-тентового сооружения»</t>
  </si>
  <si>
    <t>Показатель 1 «Протяженность установленной шпунтовой стенки»</t>
  </si>
  <si>
    <t>Показатель 3  «Строительный объем введенного в эксплуатацию сооружения»</t>
  </si>
  <si>
    <t>Показатель 1 «Протяженность сетей хозяйственно-бытовой канализации»</t>
  </si>
  <si>
    <t>Мероприятие 2.03 «Выполнение мероприятий по переселению собственников жилых помещений из аварийного жилищного фонда в рамках программы переселения»</t>
  </si>
  <si>
    <t>Показатель 2 «Количество соглашений об изъятии недвижимого имущества, прошедших процедуру нотариального удостоверения»</t>
  </si>
  <si>
    <t>Показатель 3 «Количество контрактов на оценку рыночной стоимости недвижимого имущества»</t>
  </si>
  <si>
    <t>Мероприятие 1.10 «Обеспечение территории комплексной жилой застройки объектами инженерной инфраструктуры»</t>
  </si>
  <si>
    <t>Показатель 1 «Доля градостроительных кварталов, в отношении которых требуется подготовка проектов планировки и межевания»</t>
  </si>
  <si>
    <t>кв. м/га</t>
  </si>
  <si>
    <t>Показатель 1 задачи 2 - доля жилых помещений, выкупаемых у собственников в рамках программы переселения, в общей  площади аварийного жилищного фонда</t>
  </si>
  <si>
    <t>Отношение площади жилых помещений, выкупаемых у собственников в рамках программы переселения, к общей  площади аварийного жилищного фонда,  умноженное на 100</t>
  </si>
  <si>
    <t>м</t>
  </si>
  <si>
    <t>- общая  площадь аварийного жилищного фонда, кв.м</t>
  </si>
  <si>
    <t>Показатель 1 «Доля жилых помещений, выкупаемых у собственников в рамках программы переселения, в общей  площади аварийного жилищного фонда»</t>
  </si>
  <si>
    <t>Количество общей площади, приходящейся на 1 га жилой территории</t>
  </si>
  <si>
    <t>Годы реализации муниципальной программы</t>
  </si>
  <si>
    <t>10</t>
  </si>
  <si>
    <t>нет</t>
  </si>
  <si>
    <t>Мероприятие 1.06 «Строительство берегоукрепительных сооружений набережной реки Кудьма в городе Северодвинске (I очереди I этапа берегоукрепительных сооружений)»</t>
  </si>
  <si>
    <t xml:space="preserve">Мероприятие 1.08 «Строительство объекта «Канализационный самотечный коллектор на пр. Беломорском в г. Северодвинске Архангельской области»                               </t>
  </si>
  <si>
    <t xml:space="preserve">пог. м </t>
  </si>
  <si>
    <t>Отношение длины всей дорожной сети Северодвинска к площади территории Северодвинска, умноженное на 100</t>
  </si>
  <si>
    <t>х</t>
  </si>
  <si>
    <t>Показатель 2 «Количество контрактов на проведение строительного контроля»</t>
  </si>
  <si>
    <t>N - норматив обеспеченности спортивными плоскостными сооружениями на 10тыс. человек населения (19,5 тыс. кв.км.)</t>
  </si>
  <si>
    <t>Показатель 1 «Количество проектов планировки территорий кварталов»</t>
  </si>
  <si>
    <t>Показатель 1 «Общая площадь введенных в эксплуатацию жилых помещений,  приходящаяся в среднем на одного жителя (в год)»</t>
  </si>
  <si>
    <t>Показатель 1  «Количество благоустроенных участков на территории катка»</t>
  </si>
  <si>
    <t>Характеристика муниципальной программы Северодвинска</t>
  </si>
  <si>
    <t>Мероприятие 1.04 «Предоставление социальных выплат молодым семьям (реализация выданных свидетельств в установленный законодательством срок)»</t>
  </si>
  <si>
    <t>Показатель 1 «Количество комплектов проектной документации»</t>
  </si>
  <si>
    <t>Показатель 1 «Площадь асфальтобетонного покрытия проезжей части»</t>
  </si>
  <si>
    <t>УМЖФ</t>
  </si>
  <si>
    <t>Показатель 2 задачи 2 - доля жителей Северодвинска, переселенных из аварийного жилищного фонда, в общей численности населения, проживающего в аварийном и непригодном для проживания жилищном фонде</t>
  </si>
  <si>
    <t>Показатель 2 «Общая площадь жилищного фонда муниципального образования «Северодвинск» в расчете на одного жителя Северодвинска»</t>
  </si>
  <si>
    <t>Показатель 1 «Общая площадь введенных в эксплуатацию жилых помещений
в рамках реализации программы переселения граждан из аварийного жилищного фонда, в расчете на одного жителя Северодвинска»</t>
  </si>
  <si>
    <t>Показатель 4 «Доля семей, улучшивших жилищные условия 
в отчетном году, в общей численности населения, состоящего на учете 
в качестве нуждающегося в жилых помещениях»</t>
  </si>
  <si>
    <t>Показатель 2 «Доля площади жилых помещений, введенных 
в действие за год, в рамках реализации программы переселения 
в годовом объеме ввода жилья в Северодвинске»</t>
  </si>
  <si>
    <t>Показатель 2 «Мощность введенных 
в эксплуатацию многоквартирных домов в отчетном году»</t>
  </si>
  <si>
    <t>Показатель 3 «Количество многоквартирных домов с переходящим сроком ввода 
в эксплуатацию»</t>
  </si>
  <si>
    <t>Показатель 2 «Доля жителей Северодвинска, переселенных из аварийного жилищного фонда, в общей численности населения, проживающего в аварийном 
и непригодном для проживания жилищном фонде»</t>
  </si>
  <si>
    <t xml:space="preserve">Мероприятие 1.01 «Строительство автомобильной дороги к селу Нёнокса 
от автодороги «Северодвинск – Онега» </t>
  </si>
  <si>
    <t>Показатель 3 «Протяженность участка дороги, на котором выполнены работы 
в соответствии с контрактом»</t>
  </si>
  <si>
    <t>Мероприятие 1.02 «Реконструкция проспекта Морского от ул. Малая Кудьма 
до проспекта Победы г. Северодвинск»</t>
  </si>
  <si>
    <t>Мероприятие 1.04 «Строительство дороги по продлению проспекта Морского 
от проспекта Победы до пересечения с Солзенским шоссе в г. Северодвинске»</t>
  </si>
  <si>
    <t>Мероприятие 1.05 «Реконструкция автомобильной дороги по Банному переулку 
с устройством ливневой канализации в городе Северодвинске»</t>
  </si>
  <si>
    <t>Мероприятие 1.21 «Строительство окружной дороги (соединение ул. Окружной 
с ул. Юбилейной) в г. Северодвинске»</t>
  </si>
  <si>
    <t>Показатель 4 «Количество приобретенного спортивного оборудования 
и инвентаря»</t>
  </si>
  <si>
    <t>Административное мероприятие 2.03 «Подготовка и выдача разрешений 
на отклонение от предельных параметров разрешенного строительства, реконструкции объектов капитального строительства»</t>
  </si>
  <si>
    <t>Показатель 1 «Количество рассмотренных обращений о выдаче разрешений 
на отклонение от предельных параметров разрешенного строительства, реконструкции объектов капитального строительства (в год)»</t>
  </si>
  <si>
    <t>Административное мероприятие 2.04 «Подготовка и выдача разрешений 
на строительство объектов капитального строительства»</t>
  </si>
  <si>
    <t>Административное мероприятие 2.06 «Подготовка и выдача разрешений на ввод 
в эксплуатацию объектов капитального строительства»</t>
  </si>
  <si>
    <t>Административное мероприятие 2.08 «Рассмотрение предложений физических 
и юридических лиц о подготовке документации по планировке территории»</t>
  </si>
  <si>
    <t>Административное мероприятие 2.09 «Рассмотрение предложений физических 
и юридических лиц о внесении изменений в генеральный план Северодвинска»</t>
  </si>
  <si>
    <t>Показатель 1 «Количество выданных разрешений на условно разрешенный вид использования земельных участков или объектов капитального строительства 
(в год)»</t>
  </si>
  <si>
    <t>Административное мероприятие 2.11 «Подготовка и выдача разрешения 
на установку и эксплуатацию рекламных конструкций»</t>
  </si>
  <si>
    <t xml:space="preserve">Административное  мероприятие 1.02 «Формирование списка претендентов 
на получение социальных выплат» </t>
  </si>
  <si>
    <t xml:space="preserve">Показатель 1 «Количество молодых семей, улучшивших жилищные условия 
с помощью социальных выплат в рамках текущего финансового года» </t>
  </si>
  <si>
    <t>1. Обеспечение деятельности ответственного исполнителя – Управления градостроительства и земельных отношений Администрации Северодвинска</t>
  </si>
  <si>
    <t>Показатель 1 «Доля граждан, получающих субсидии на оплату жилого помещения 
и коммунальных услуг, от общего числа жителей Северодвинска»</t>
  </si>
  <si>
    <t xml:space="preserve">Мероприятие 1.01 «Предоставление гражданам   субсидий  на  строительство 
и приобретение жилья» </t>
  </si>
  <si>
    <t>Показатель 1 «Количество исполненных решений суда о переселении граждан 
из ветхого и аварийного жилищного фонда»</t>
  </si>
  <si>
    <t xml:space="preserve">Мероприятие 1.04 «Выкуп имущества, расположенного  по ул. Юбилейной, д. 25, 
в целях использования под маневренный фонд» </t>
  </si>
  <si>
    <t>Финансовое обеспечение мероприятий по переселению из аварийного жилищного фонда (нераспределенные расходы Фонда содействия реформированию ЖКХ 
в рамках реализуемых этапов программы переселения)</t>
  </si>
  <si>
    <t>строительства Северодвинска»,</t>
  </si>
  <si>
    <t>«Развитие жилищного строительства Северодвинска»</t>
  </si>
  <si>
    <t>Муниципальная программа «Развитие жилищного строительства Северодвинска»</t>
  </si>
  <si>
    <t>Показатель 2  «Количество актов по обследованию объекта»</t>
  </si>
  <si>
    <t>Мероприятие 1.07 «Реконструкция моста через Никольское устье Северной Двины в г. Северодвинске»</t>
  </si>
  <si>
    <t>Показатель 4 «Количество соглашений о предоставлении межбюджетного трансферта»</t>
  </si>
  <si>
    <t>Показатель 2 «Уровень обеспеченности населения спортивными плоскостными сооружениями, исходя из их единовременной пропускной способности, в % 
от установленного норматива»</t>
  </si>
  <si>
    <t>Показатель 1  «Количество контрактов на приобретение технологического оборудования, выполнение работ для крытого катка с искусственным льдом ФОК «Звездочка»</t>
  </si>
  <si>
    <t>Административное мероприятие 2.13 «Присвоение объекту адресации адреса 
или аннулирование адреса»</t>
  </si>
  <si>
    <t>Показатель 1 «Количество комплектов технической документации, направленных 
в Управление муниципального заказа Администрации Северодвинска, 
для осуществления закупки работ по выносу радиотрансляционной линии (телефонии) с подлежащих сносу аварийных многоквартирных домов»</t>
  </si>
  <si>
    <t>Показатель 2 «Количество комплектов технической документации, направленных 
в Управление муниципального заказа Администрации Северодвинска,  
для осуществления закупки работ по разборке (сносу) аварийных многоквартирных домов»</t>
  </si>
  <si>
    <t>Цель 1 «Повышение доступности жилья и качества жилищного обеспечения 
для населения муниципального образования «Северодвинск»</t>
  </si>
  <si>
    <t>Административное мероприятие 2.02 «Подготовка технической документации 
для осуществления конкурсных процедур по разборке (сносу) аварийных   многоквартирных домов в рамках программы переселения из аварийного жилищного фонда»</t>
  </si>
  <si>
    <t>Наименование целевого показателя</t>
  </si>
  <si>
    <t>Расчет показателей</t>
  </si>
  <si>
    <t>Значения целевых показателей</t>
  </si>
  <si>
    <t>Базовый</t>
  </si>
  <si>
    <t>2015 год</t>
  </si>
  <si>
    <t>год</t>
  </si>
  <si>
    <t>Годовой объем ввода жилья в Северодвинске, кв. м.</t>
  </si>
  <si>
    <t>- среднегодовая численности населения, человек</t>
  </si>
  <si>
    <t>- общая площадь жилых помещений в аварийных домах, кв.м</t>
  </si>
  <si>
    <t>70499,4</t>
  </si>
  <si>
    <t>4 917 020,3</t>
  </si>
  <si>
    <t>822</t>
  </si>
  <si>
    <t>– количество населенных пунктов муниципального образования «Северодвинск», единиц.</t>
  </si>
  <si>
    <t>12</t>
  </si>
  <si>
    <t>– количество генеральных планов населенных пунктов, единиц.</t>
  </si>
  <si>
    <t>кв. м.</t>
  </si>
  <si>
    <t>- протяженность дорог, км.</t>
  </si>
  <si>
    <t>- протяженность дорог, построенных за год, км.</t>
  </si>
  <si>
    <t>Показатель 2 задачи 1 – обеспеченность территории муниципального образования «Северодвинск» муниципальными инженерными сетями</t>
  </si>
  <si>
    <t>– протяженность муниципальных инженерных сетей, км</t>
  </si>
  <si>
    <t>626,325</t>
  </si>
  <si>
    <t>Мероприятие 2.02 «Предоставление жилых помещений детям-сиротам, детям, оставшимся без попечения родителей, и лицам из их числа»</t>
  </si>
  <si>
    <t>Показатель 1 задачи 1 – доля градостроительных кварталов, в отношении которых требуется подготовка проектов планировки и межевания</t>
  </si>
  <si>
    <t>Отношение количества кварталов, в отношении которых требуется подготовка проектов планировки и межевания к общему количеству кварталов муниципального образования «Северодвинск», умноженное на 100</t>
  </si>
  <si>
    <t>51</t>
  </si>
  <si>
    <t>212</t>
  </si>
  <si>
    <t>- площадь территории муниципального образования «Северодвинск», га</t>
  </si>
  <si>
    <t xml:space="preserve"> – площадь земельных участков, предоставленных для строительства в год, га</t>
  </si>
  <si>
    <t>Показатель 1  «Количество инвестиционных проектов, по которым выполнено обоснование»</t>
  </si>
  <si>
    <t>Показатель 1 «Объем земляных работ с устройством насыпи»</t>
  </si>
  <si>
    <t>Отношение фактической общей площади спортивных плоскостных сооружений муниципального образования «Северодвинск» к нормативной, умноженное на 100</t>
  </si>
  <si>
    <t>– фактическая общая площадь спортивных плоскостных сооружений муниципального образования «Северодвинск», тыс. кв. м</t>
  </si>
  <si>
    <t>– нормативная площадь спортивных плоскостных сооружений муниципального образования «Северодвинск», тыс. кв. м</t>
  </si>
  <si>
    <t>S = N x (C/10000), где:
S - нормативная площадь спортивных плоскостных сооружений муниципального образования «Северодвинск» , тыс. кв. м</t>
  </si>
  <si>
    <t>– количество молодых семей, получивших социальные выплаты, единиц</t>
  </si>
  <si>
    <t>Показатель 2 задачи 1– доля  средств областного бюджета, выделенных муниципальному образованию «Северодвинск», в рамках подпрограммы «Обеспечение жильем молодых семей» государственной программы  Архангельской области «Обеспечение качественным, доступным жильем и объектами инженерной инфраструктуры населения Архангельской области (2014-2020)»  (в процентах от общего объема средств областного бюджета, выделенных муниципальным образованиям Архангельской области)</t>
  </si>
  <si>
    <t>Отношение объема средств областного бюджета, выделенных на реализацию подпрограммы муниципальному образованию «Северодвинск» к объему средств областного бюджета, выделенных на реализацию подпрограммы муниципальным образованиям Архангельской области, умноженное на 100</t>
  </si>
  <si>
    <t>- среднегодовая численности населения, человек</t>
  </si>
  <si>
    <t>–объем средств областного бюджета, выделенных на реализацию подпрограммы муниципальным образованиям Архангельской области, руб.</t>
  </si>
  <si>
    <t xml:space="preserve"> – объем средств областного бюджета, выделенных на реализацию подпрограммы муниципальному образованию «Северодвинск», руб.</t>
  </si>
  <si>
    <t>Показатель 1 задачи 1 – доля граждан, получающих субсидии на оплату жилого помещения и коммунальных услуг, от общего числа жителей Северодвинска</t>
  </si>
  <si>
    <t>Отношение количества граждан, получивших субсидии к среднегодовой численности населения Северодвинска, умноженное на 100</t>
  </si>
  <si>
    <t>Отношение протяженности муниципальных инженерных сетей к площади территории муниципального образования «Северодвинск», умноженное на 100</t>
  </si>
  <si>
    <t>– количество граждан, получивших субсидии, человек</t>
  </si>
  <si>
    <t>– количество семей, получивших субсидии на строительство и приобретение жилья, единиц</t>
  </si>
  <si>
    <t xml:space="preserve">Строительство «Автозимника к селу Ненокса от автодороги «Северодвинск-Онега» </t>
  </si>
  <si>
    <t>Реконструкция проспекта Победы на участке от ул. Кирилкина до пр. Морской г. Северодвинск</t>
  </si>
  <si>
    <t>Строительство дороги по продлению проспекта Морского от проспекта Победы до пересечения с Солзенским шоссе в г. Северодвинске</t>
  </si>
  <si>
    <t>Реконструкция автомобильной дороги по Банному переулку с устройством ливневой канализации в городе Северодвинске</t>
  </si>
  <si>
    <t>Строительство берегоукрепительных сооружений набережной реки Кудьма в городе Северодвинске (I очереди I этапа берегоукрепительных сооружений)</t>
  </si>
  <si>
    <t>Реконструкция моста через Никольское устье Северной Двины в г. Северодвинске</t>
  </si>
  <si>
    <t xml:space="preserve">Строительство объекта «Канализационный самотечный коллектор на пр. Беломорском в г. Северодвинске Архангельской области                       </t>
  </si>
  <si>
    <t>Проектирование и строительство ливневой канализации вдоль улицы Портовой на участке от Архангельского шоссе до ул. Первомайской в городе Северодвинске Архангельской области</t>
  </si>
  <si>
    <t>Реконструкция дороги по ул. Окружной в г. Северодвинске (участок от ул. Коммунальной до путепровода)</t>
  </si>
  <si>
    <t>– количество граждан, состоящих на учете и имеющих право на получение государственных жилищных сертификатов, человек.</t>
  </si>
  <si>
    <t>Отношение количества детей-сирот, детей, оставшихся без попечения родителей, и лиц из их числа, обеспеченных жилыми помещениями к нуждающимся лицам данной категории, умноженное на 100</t>
  </si>
  <si>
    <t>- количество детей-сирот, детей, оставшихся без попечения родителей, и лиц из их числа, обеспеченных жилыми помещениями, человек</t>
  </si>
  <si>
    <t>- количество детей-сирот, детей, оставшихся без попечения родителей, и лиц из их числа, нуждающихся в жилых помещениях, человек</t>
  </si>
  <si>
    <t>137</t>
  </si>
  <si>
    <t>Показатель 3 цели –доля ветхих и аварийных многоквартирных домов в муниципальном образовании «Северодвинск»</t>
  </si>
  <si>
    <t>Показатель 1 цели –годовой объем ввода жилья</t>
  </si>
  <si>
    <t>УСиА</t>
  </si>
  <si>
    <t>КЖКХ</t>
  </si>
  <si>
    <t>УЭ</t>
  </si>
  <si>
    <t>Отношение общей площади жилых помещений аварийных домов к общей площади жилых помещений в муниципальном образовании «Северодвинск», умноженное на 100</t>
  </si>
  <si>
    <t>УСиА, КУМИЗО</t>
  </si>
  <si>
    <t>Отношение количества генеральных планов населенных пунктов муниципального образования «Северодвинск» к количеству населенных пунктов муниципального образования, умноженное на 100</t>
  </si>
  <si>
    <t>КУМИЗО</t>
  </si>
  <si>
    <t>C - численность населения региона (района, города)</t>
  </si>
  <si>
    <t>Административное мероприятие 2.01 «Выдача государственных жилищных сертификатов  гражданам, относящимся к категориям, установленным федеральным законодательством»</t>
  </si>
  <si>
    <t>Задача 1 «Развитие инженерной инфраструктуры»</t>
  </si>
  <si>
    <t>га</t>
  </si>
  <si>
    <t>федеральный бюджет</t>
  </si>
  <si>
    <t>Показатель 3  «Площадь  территории, на которой выполнено устройство асфальтобетонного покрытия»</t>
  </si>
  <si>
    <t>тыс. кв. м</t>
  </si>
  <si>
    <t>Показатель 2  «Количество договоров о технологическом присоединении»</t>
  </si>
  <si>
    <t>Показатель 2 «Количество утвержденных проектов планировки и проектов межевания территории для строительства объекта»</t>
  </si>
  <si>
    <t>Показатель 2 «Количество комплектов проектной документации»</t>
  </si>
  <si>
    <t>Показатель 2  «Количество корректировок проектной документации»</t>
  </si>
  <si>
    <t>Показатель 2 «Общая площадь введенного в эксплуатацию здания»</t>
  </si>
  <si>
    <t>Показатель 1 «Высота введенного в эксплуатацию сооружения»</t>
  </si>
  <si>
    <t>Показатель 2 «Объем введенного в эксплуатацию здания»</t>
  </si>
  <si>
    <t>Показатель 3 «Количество приобретенной мебели»</t>
  </si>
  <si>
    <t>областной бюджет</t>
  </si>
  <si>
    <t>местный бюджет</t>
  </si>
  <si>
    <t>Показатель 1 «Выкупленная площадь многоквартирного дома (нарастающим итогом)»</t>
  </si>
  <si>
    <t>Показатель 1 «Количество документов»</t>
  </si>
  <si>
    <t>Реконструкция берегоукрепительных сооружений на о. Ягры в г. Северодвинске (1 этап)</t>
  </si>
  <si>
    <t>Завершение строительства мостового перехода через реку Малая Кудьма на Солзенском шоссе в г. Северодвинске Архангельской области</t>
  </si>
  <si>
    <t>– объем средств федерального бюджета, выделенных на реализацию программы муниципальным образованиям Архангельской области, тыс. руб.</t>
  </si>
  <si>
    <t>Отношение объема средств федерального бюджета, выделенных муниципальному образованию «Северодвинск» в рамках  государственной программы Российской Федерации «Обеспечение доступным и комфортным жильем и коммунальными услугами граждан Российской Федерации», к объему средств федерального бюджета, выделенных муниципальным образованиям Архангельской области на обеспечение жильем молодых семей, умноженное на 100</t>
  </si>
  <si>
    <t>– объем средств федерального бюджета, выделенных муниципальному образованию «Северодвинск» в рамках  государственной программы Российской Федерации «Обеспечение доступным и комфортным жильем и коммунальными услугами граждан Российской Федерации», тыс. руб.</t>
  </si>
  <si>
    <t>Показатель 1 задачи 1 – доля средств федерального бюджета, выделенных муниципальному образованию «Северодвинск» в рамках  государственной программы Российской Федерации «Обеспечение доступным и комфортным жильем и коммунальными услугами граждан Российской Федерации», (в процентах от общего объема средств федерального бюджета, выделенных муниципальным образованиям Архангельской области)</t>
  </si>
  <si>
    <t>Мероприятие 1.02 «Подготовка  проектов планировки и проектов межевания территорий кварталов с проведением инженерно-геологических изысканий»</t>
  </si>
  <si>
    <t>- число объектов социальной сферы (ед.), в том числе:</t>
  </si>
  <si>
    <t>закрепленных по ведомственной принадлежности за отделом физической культуры и спорта</t>
  </si>
  <si>
    <t>закрепленных по ведомственной принадлежности за Управлением образования Администрации Северодвинска</t>
  </si>
  <si>
    <t>закрепленных по ведомственной принадлежности за Управлением культуры и общественных связей Администрации Северодвинска</t>
  </si>
  <si>
    <t>Показатель 1 «Протяженность наружных сетей электроснабжения»</t>
  </si>
  <si>
    <t>Показатель 1 «Протяженность ливневого коллектора»</t>
  </si>
  <si>
    <t>Мероприятие 1.15 «Строительство ливневого коллектора по ул. Ломоносова»</t>
  </si>
  <si>
    <t>Количество реализованных инвестиционных проектов, направленных на развитие инженерной инфраструктуры (нарастающим итогом), ед</t>
  </si>
  <si>
    <t>Показатель 1 «Количество  нормативно-правовых актов»</t>
  </si>
  <si>
    <t>да/нет</t>
  </si>
  <si>
    <t>Программа</t>
  </si>
  <si>
    <t>Подпрограмма</t>
  </si>
  <si>
    <t>Цель программы</t>
  </si>
  <si>
    <t>Задача подпрограммы</t>
  </si>
  <si>
    <t>Цели 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</si>
  <si>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</si>
  <si>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Значение</t>
  </si>
  <si>
    <t>Год достижения</t>
  </si>
  <si>
    <t>Целевое (суммарное) значение показателя</t>
  </si>
  <si>
    <t>кв. м</t>
  </si>
  <si>
    <t>тыс. руб.</t>
  </si>
  <si>
    <t>ед.</t>
  </si>
  <si>
    <t>%</t>
  </si>
  <si>
    <t>да</t>
  </si>
  <si>
    <t> %</t>
  </si>
  <si>
    <t xml:space="preserve">кв. м </t>
  </si>
  <si>
    <t xml:space="preserve">% </t>
  </si>
  <si>
    <t>Показатель 1 «Годовой объем ввода жилья»</t>
  </si>
  <si>
    <t>Задача 2 «Развитие социальной инфраструктуры»</t>
  </si>
  <si>
    <t>Задача  1 «Повышение доступности  жилья для молодых семей»</t>
  </si>
  <si>
    <t>Задача 1 «Обеспечение финансовой поддержкой жителей Северодвинска»</t>
  </si>
  <si>
    <t>Задача  2 «Выполнение государственных обязательств по обеспечению жильем  категорий граждан, установленных федеральным законодательством»</t>
  </si>
  <si>
    <t>Показатель 1 «Количество граждан, получивших субсидии на оплату жилого помещения и коммунальных услуг»</t>
  </si>
  <si>
    <t>Показатель 3  «Площадь благоустроенной территории, на которой выполнено устройство асфальтобетонного покрытия»</t>
  </si>
  <si>
    <t>Отношение численности детей, охваченных образовательными программами дошкольного образования к нормативному количеству мест в дошкольных образовательных организациях</t>
  </si>
  <si>
    <t>Отношение общей площади жилищного фонда муниципального образования "Северодвинск" к среднегодовой численности населения Северодвинска</t>
  </si>
  <si>
    <t>– общая площадь жилищного фонда муниципального образования "Северодвинск", кв. м</t>
  </si>
  <si>
    <t>- численность населения проживающего в аварийном и непригодном для проживания жилищном фонде, человек</t>
  </si>
  <si>
    <t>Показатель 1 задачи 2  - уровень наполняемости детских дошкольных учреждений</t>
  </si>
  <si>
    <t>Показатель 2 цели – общая площадь жилищного фонда муниципального образования "Северодвинск", в расчете на одного жителя Северодвинска</t>
  </si>
  <si>
    <t>Показатель 1 «Уровень наполняемости детских дошкольных учреждений»</t>
  </si>
  <si>
    <t>в том числе:</t>
  </si>
  <si>
    <t>- количество семей, проживающих в ветхом и аварийном жилищном фонде, улучшивших жилищные условия в отчетном году</t>
  </si>
  <si>
    <r>
      <t>Отношение количества семей, улучшивших жилищные условия в отчетном году к количеству семей,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состоящих на учете в качестве нуждающихся в жилых помещениях, умноженное на 100.</t>
    </r>
  </si>
  <si>
    <t>Количество семей, улучшивших жилищные условия в отчетном году, единиц</t>
  </si>
  <si>
    <t>- количество молодых семей, получивших социальные выплаты</t>
  </si>
  <si>
    <t>- количество семей, получивших субсидии на строительство и приобретение жилья</t>
  </si>
  <si>
    <t>- количество семей состоящих на учете и имеющих право на получение государственных жилищных сертификатов</t>
  </si>
  <si>
    <t>- количество семей, проживающих в ветхом и аварийном жилищном фонде, состоящих на учете в качестве нуждающихся в жилых помещениях</t>
  </si>
  <si>
    <t xml:space="preserve">- число семей, состоящих на учете для получения субсидии на строительство и приобретение жилья </t>
  </si>
  <si>
    <t>Количество семей, состоящих на учете в качестве нуждающихся в жилых помещениях, единиц</t>
  </si>
  <si>
    <t>Показатель 1 «Протяженность участка дороги, на котором выполнены подготовительные работы»</t>
  </si>
  <si>
    <t>Показатель 2 «Протяженность введенного в эксплуатацию участка дороги»</t>
  </si>
  <si>
    <t>Показатель 1 «Количество контрактов на осуществление технологического присоединения»</t>
  </si>
  <si>
    <t>– число семей, состоящих на учете для получения субсидии на строительство и приобретение жилья , единиц</t>
  </si>
  <si>
    <t xml:space="preserve">Отношение количество семей, получивших субсидии на  строительство и приобретение жилья к числу семей, состоящих на учете для получения субсидии на строительство и приобретение жилья, умноженное на 100 </t>
  </si>
  <si>
    <t>Показатель 2 задачи 1 - доля семей, получивших субсидии на строительство и приобретение жилья в отчетном году, от общего числа семей, состоящих на учете для получения субсидии</t>
  </si>
  <si>
    <t>Показатель 1 задачи 1 – общая площадь введенных в эксплуатацию жилых помещений в рамках реализации программы переселения граждан из аварийного жилищного фонда, в расчете на одного жителя Северодвинска</t>
  </si>
  <si>
    <t>Отношение общей  площади жилых помещений, введенных в действие за год, в рамках реализации программы переселения к годовому объему ввода жилья в Северодвинске, умноженное на 100</t>
  </si>
  <si>
    <t xml:space="preserve">от 08.06.2016 № 184-па             </t>
  </si>
  <si>
    <t xml:space="preserve">(в редакции от                            №                         )                 </t>
  </si>
  <si>
    <t xml:space="preserve">Отношение количества граждан, улучшивших жилищные условия путем реализации государственных жилищных сертификатов, к количеству граждан, состоящих на учете и имеющих право на получение государственных жилищных сертификатов, умноженное на 100  </t>
  </si>
  <si>
    <t>Показатель 1 «Доля граждан, улучшивших жилищные условия путем реализации государственных жилищных сертификатов в отчетном году, от числа граждан, состоящих на учете и имеющих право на получение государственных жилищных сертификатов»</t>
  </si>
  <si>
    <t>Показатель 2 «Обеспеченность  муниципального образования «Северодвинск» генеральными планами населенных пунктов»</t>
  </si>
  <si>
    <t>кв.м/ га</t>
  </si>
  <si>
    <t>Показатель 8 цели - количество реализованных инвестиционных проектов, направленных на развитие инженерной инфраструктуры</t>
  </si>
  <si>
    <t>Показатель 2 «Доля средств областного бюджета, выделенных муниципальному образованию «Северодвинск», в рамках подпрограммы № 2 «Обеспечение жильем молодых семей» государственной программы  Архангельской области «Обеспечение качественным, доступным жильем и объектами инженерной инфраструктуры населения Архангельской области (2014–2024)»  (в процентах от общего объема средств областного бюджета, выделенных муниципальным образованиям Архангельской области)»</t>
  </si>
  <si>
    <t>Показатель 1 задачи 1 – плотность автомобильных дорог Северодвинска</t>
  </si>
  <si>
    <t>Показатель 8 «Количество реализованных инвестиционных проектов, направленных на развитие инженерной инфраструктуры»</t>
  </si>
  <si>
    <t>Показатель 1 «Плотность автомобильных дорог Северодвинска»</t>
  </si>
  <si>
    <t>Численность детей в возрасте от 0 до 7 лет, обеспеченных услугами дошкольного образования</t>
  </si>
  <si>
    <t>- количество детей в возрасте от 0 до 3 лет, получающих услугу дошкольного образования</t>
  </si>
  <si>
    <t>- количество детей в возрасте от 3 до 7 лет, обеспеченных услугами дошкольного образования</t>
  </si>
  <si>
    <t>Нормативное количество мест в дошкольных образовательных организациях:</t>
  </si>
  <si>
    <t>численность детей в возрасте от 0 до 7 лет, проживающих на территории Северодвинска</t>
  </si>
  <si>
    <t>Показатель 4 «Протяженность реконструированной дороги»</t>
  </si>
  <si>
    <t>Показатель 3  «Протяженность введенного в эксплуатацию коллектора»</t>
  </si>
  <si>
    <t>тыс. пог. м</t>
  </si>
  <si>
    <t>Показатель 2  «Площадь участка, на котором выполнены работы в соответствии с контрактом»</t>
  </si>
  <si>
    <t>Показатель 2 «Протяжённость введенных в эксплуатацию сетей ливневой канализации»</t>
  </si>
  <si>
    <t>Показатель 2 «Строительный объем введенного в эксплуатацию здания»</t>
  </si>
  <si>
    <t>тыс. куб. м</t>
  </si>
  <si>
    <t>Показатель 4 «Площадь введенного в эксплуатацию здания»</t>
  </si>
  <si>
    <t>- численность жителей Северодвинска, переселенных из аварийного жилищного фонда, человек</t>
  </si>
  <si>
    <t>– площадь жилых помещений, выкупаемых у собственников в рамках программы переселения, кв. м</t>
  </si>
  <si>
    <t>норматив количества мест в образовательных организациях в расчете на 100 детей в возрасте от 0 до 7 лет (Методическими рекомендациями по развитию сети образовательных организаций и обеспеченности населения услугами таких организаций, включающие требования по размещению организаций сферы образования, в том числе в сельской местности, исходя из норм действующего законодательства Российской Федерации, с учетом возрастного состава и плотности населения, транспортной инфраструктуры и других факторов, влияющих на доступность и обеспеченность населения услугами сферы образования", утв. Минобрнауки России 04.05.2016 N АК-15/02вн)</t>
  </si>
  <si>
    <t>Задача 1 «Оптимизация системы территориального планирования муниципального образования «Северодвинск»</t>
  </si>
  <si>
    <t>Показатель 1 «Количество списков»</t>
  </si>
  <si>
    <t>чел.</t>
  </si>
  <si>
    <t>% в год</t>
  </si>
  <si>
    <t>Источник финансирования*</t>
  </si>
  <si>
    <t>Мероприятие (подпрограммы или административное)</t>
  </si>
  <si>
    <t>Аналитический код</t>
  </si>
  <si>
    <t>G</t>
  </si>
  <si>
    <t>Приложение № 4</t>
  </si>
  <si>
    <t>к муниципальной программе «Развитие жилищного</t>
  </si>
  <si>
    <t>Фонд содействия реформированию ЖКХ</t>
  </si>
  <si>
    <t>Отношение количества жителей Северодвинска, переселенных из аварийного жилищного фонда, к общей численности населения, проживающего в аварийном и непригодном для проживания жилищном фонде, умноженное на 100</t>
  </si>
  <si>
    <t>Мероприятие 2.01 «Выплата возмещения лицам, являющимся собственниками жилых помещений, расположенных в аварийных многоквартирных домах»</t>
  </si>
  <si>
    <t>Показатель 1 задачи 2 - доля граждан, улучшивших жилищные условия путем реализации государственных жилищных сертификатов в отчетном году, от числа граждан, состоящих на учете и имеющих право на получение государственных жилищных сертификатов</t>
  </si>
  <si>
    <t>Показатель 6 «Плотность жилого фонда»</t>
  </si>
  <si>
    <t>Показатель 3 «Протяженность введенного в эксплуатацию коллектора»</t>
  </si>
  <si>
    <t>Показатель 7 «Число объектов социальной сферы в расчете на 10 тыс. человек населения»</t>
  </si>
  <si>
    <t>Показатель 4 цели – доля семей, улучшивших жилищные условия в отчетном году, в общей численности населения, состоящего на учете в качестве нуждающегося в жилых помещениях</t>
  </si>
  <si>
    <t>Показатель 6 цели  – плотность жилого фонда</t>
  </si>
  <si>
    <t>Показатель 7 цели  - число объектов социальной сферы в расчете на 10 тыс. человек населения</t>
  </si>
  <si>
    <t>Показатель 2 задачи 2 - доля детей-сирот, детей, оставшихся без попечения родителей, и лиц из их числа, обеспеченных жилыми помещениями, от нуждающихся (в год)</t>
  </si>
  <si>
    <t xml:space="preserve">Ответственный исполнитель: Управление строительства и архитектуры Администрации Северодвинска, </t>
  </si>
  <si>
    <t>Соисполнители: Управление муниципального жилищного фонда Администрации Северодвинска,
Комитет по управлению муниципальным имуществом и земельным отношениям Администрации Северодвинска,
Комитет ЖКХ, транспорта и связи Администрации Северодвинска</t>
  </si>
  <si>
    <t>- количество семей получивших государственные жилищные сертификаты</t>
  </si>
  <si>
    <t>- количество молодых семей, нуждающихся в улучшении жилищных условий</t>
  </si>
  <si>
    <t>Показатель 5 цели – доля «молодых семей», получивших социальные выплаты (от общего количества «молодых семей», нуждающихся в улучшении жилищных условий)</t>
  </si>
  <si>
    <t>Отношение количества молодых семей, получивших социальные выплаты к количеству молодых семей, нуждающихся в улучшении жилищных условий, умноженное на 100.</t>
  </si>
  <si>
    <t>– количество молодых семей, нуждающихся в улучшении жилищных условий, единиц</t>
  </si>
  <si>
    <t>Отношение общей площади жилых помещений, введенной в действие за год, в рамках реализации программы переселения граждан из аварийного жилищного фонда к среднегодовой численности населения Северодвинска</t>
  </si>
  <si>
    <t>- общая  площадь жилых помещений, введенная в действие за год, в рамках реализации программы переселения граждан из аварийного жилищного фонда, кв. м.</t>
  </si>
  <si>
    <t>- общая  площадь жилых помещений, введенной в действие за год, для реализации программы переселения, кв. м.</t>
  </si>
  <si>
    <t>Показатель 2 задачи 2 – уровень обеспеченности населения спортивными плоскостными сооружениями, исходя из их единовременной пропускной способности в % от установленного норматива</t>
  </si>
  <si>
    <t>Показатель 2 задачи 1– обеспеченность муниципального образования «Северодвинск» генеральными планами населенных пунктов</t>
  </si>
  <si>
    <t>Отношение общей площади жилых помещений, введенной в действие за год, к среднегодовой численности населения Северодвинска</t>
  </si>
  <si>
    <t>- общая  площадь жилых помещений, введенная в действие за год, кв. м.</t>
  </si>
  <si>
    <t>- среднегодовая численность населения, человек</t>
  </si>
  <si>
    <r>
      <t>км/км</t>
    </r>
    <r>
      <rPr>
        <vertAlign val="superscript"/>
        <sz val="11"/>
        <rFont val="Times New Roman"/>
        <family val="1"/>
      </rPr>
      <t>2</t>
    </r>
  </si>
  <si>
    <t>Мероприятие 2.10  «Проектирование и строительство объекта «Фекальная канализационная сеть здания МБУ ДО «Детская музыкальная школа № 3»</t>
  </si>
  <si>
    <t>Показатель 1  «Протяженность введенного в эксплуатацию мостового перехода»</t>
  </si>
  <si>
    <t>Показатель 1  «Количество корректировок проектной документации»</t>
  </si>
  <si>
    <t>Показатель 2  «Количество установок очистки»</t>
  </si>
  <si>
    <t>Показатель 3  «Протяженность введенных в эксплуатацию сетей ливневой канализации»</t>
  </si>
  <si>
    <t>Показатель 2 «Количество контрактов на корректировку проектной документации»</t>
  </si>
  <si>
    <t>Показатель 3 «Протяженность введенного в эксплуатацию участка набережной»</t>
  </si>
  <si>
    <t>Показатель 2 «Строительный объем объекта, введенного в эксплуатацию»</t>
  </si>
  <si>
    <t>2018 год: факт на 01.01.2018 100 787,7 - снос 2018 6308,7 + признан. авар. 2018  7011,9</t>
  </si>
  <si>
    <t>2018 год: факт на 01.01.2018 4 256 272,5 + ввод 2018 60916 - снос 2018 6308,7</t>
  </si>
  <si>
    <t>1 – федеральный бюджет; 2 – областной бюджет; 3 – местный бюджет; 4 – внебюджетные источники; 5 – государственные фонды.</t>
  </si>
  <si>
    <t>* – указана классификация источников финансирования:</t>
  </si>
  <si>
    <t>Показатель 2 задачи 2 – площадь земельных участков, предоставленных для строительства в год в расчете на 10 тыс. чел. населения</t>
  </si>
  <si>
    <t>Расчет целевых показателей муниципальной программы 
«Развитие жилищного строительства Северодвинска на 2016 – 2021 годы»</t>
  </si>
  <si>
    <t xml:space="preserve">Показатель 2 «Количество муниципальных контрактов с переходящим сроком подключения объектов» </t>
  </si>
  <si>
    <t>Мероприятие 2.02 «Завершение строительства крытого катка с искусственным льдом ФОК «Звездочка»</t>
  </si>
  <si>
    <t>Мероприятие 2.03 «Приобретение технологического оборудования для крытого катка с искусственным льдом ФОК «Звездочка»</t>
  </si>
  <si>
    <t>Мероприятие 2.12 «Строительство тренажера для спортивного скалолазания (скалодрома) в г. Северодвинске»</t>
  </si>
  <si>
    <t>Мероприятие 2.04 «Технологическое присоединение к инженерным сетям объектов социальной инфраструктуры»</t>
  </si>
  <si>
    <t>Мероприятие 2.06 «Проектирование и строительство здания фондохранилища МБУК «Северодвинский городской краеведческий музей»</t>
  </si>
  <si>
    <t>Мероприятие 1.13 «Реконструкция дороги по ул. Окружной в г. Северодвинске (участок от ул. Коммунальной до путепровода)»</t>
  </si>
  <si>
    <t>Мероприятие 1.12 «Выполнение кадастровых работ по объектам незавершенного строительства»</t>
  </si>
  <si>
    <t>Показатель 1 «Площадь подготовленной территории строительства»</t>
  </si>
  <si>
    <t>Показатель 2  «Количество контрактов на оказание услуг по строительному контролю и авторскому надзору»</t>
  </si>
  <si>
    <t xml:space="preserve">Показатель 2 задачи 1 – доля площади жилых помещений, введенных в действие за год, в рамках реализации программы переселения в годовом объеме ввода жилья в Северодвинске </t>
  </si>
  <si>
    <t xml:space="preserve"> – количество граждан получивших государственные жилищные сертификаты, человек</t>
  </si>
  <si>
    <t>– количество кварталов г. Северодвинска, в отношении которых требуется подготовка проектов планировки и межевания , единиц</t>
  </si>
  <si>
    <t>– общее количество кварталов г. Северодвинска, единиц</t>
  </si>
  <si>
    <t>Показатель 2 «Количество корректировок проектной документации»</t>
  </si>
  <si>
    <t>Показатель 3 «Количество контрактов на проведение строительного контроля»</t>
  </si>
  <si>
    <t>пог. м</t>
  </si>
  <si>
    <t>км</t>
  </si>
  <si>
    <t>шт.</t>
  </si>
  <si>
    <t>Мероприятие 2.01 «Строительство каркасно-тентового сооружения на территории стадиона «Строитель» в городе Северодвинске Архангельской области»</t>
  </si>
  <si>
    <t>куб. м</t>
  </si>
  <si>
    <t>Показатель 3 задачи 1 – доля исполненных решений суда о предоставлении жилых помещений гражданам, с которыми заключены договоры социального найма жилых помещений, признанных непригодными для проживания</t>
  </si>
  <si>
    <t>Отношение количества исполненных решений суда о предоставлении жилых помещений гражданам, с которыми заключены договоры социального найма жилых помещений, признанных непригодными для проживания к общему количеству решений суда о предоставлении жилых помещений гражданам, с которыми заключены договоры социального найма жилых помещений, признанных непригодными для проживания состоящих на учете в Администрации Северодвинска, планируемых к исполнению в рамках подпрограммы, умноженное на 100</t>
  </si>
  <si>
    <t>Показатель 1 «Площадь отведенного участка, на котором выполнены подготовительные работы»</t>
  </si>
  <si>
    <t>- количество исполненных решений суда о предоставлении жилых помещений гражданам, с которыми заключены договоры социального найма жилых помещений, признанных непригодными для проживания (нарастающим итогом), единиц</t>
  </si>
  <si>
    <t>- количество решений суда о предоставлении жилых помещений гражданам, с которыми заключены договоры социального найма жилых помещений, признанных непригодными для проживания, планируемых к исполнению в рамках подпрограммы, единиц</t>
  </si>
  <si>
    <t>Реконструкция проспекта Морского от ул. Малая Кудьма до проспекта Победы г. Северодвинск</t>
  </si>
  <si>
    <t>Строительство ливневого коллектора по ул. Ломоносова</t>
  </si>
  <si>
    <t>ед., не менее</t>
  </si>
  <si>
    <t>Строительство коллектора ливневой канализации с установкой для очистки ливневых стоков в районе Приморского бульвара в г. Северодвинске Архангельской области</t>
  </si>
  <si>
    <t>Показатель 3 «Доля исполненных решений суда о предоставлении жилых помещений гражданам, с которыми заключены договоры социального найма жилых помещений, признанных непригодными для проживания»</t>
  </si>
  <si>
    <t>Показатель 1 «Количество корректировок проектной документации»</t>
  </si>
  <si>
    <t xml:space="preserve">Отношение общего количества объектов социальной сферы  к среднегодовой численности населения Северодвинска, умноженное на 10000 </t>
  </si>
  <si>
    <t>Показатель 1  «Количество актов о технологическом присоединении»</t>
  </si>
  <si>
    <t>Показатель 1 «Количество распоряжений о присвоении объекту адресации адреса или аннулировании его адреса (в год)»</t>
  </si>
  <si>
    <t>км/га</t>
  </si>
  <si>
    <t>- площадь территории Северодвинска, га.</t>
  </si>
  <si>
    <t>-</t>
  </si>
  <si>
    <t>Показатель 1 «Количество выданных разрешений на установку и эксплуатацию рекламных конструкций (в год)»</t>
  </si>
  <si>
    <t>Показатель 1 «Количество выданных градостроительных планов земельных участков (в год)»</t>
  </si>
  <si>
    <t>Показатель 1 «Количество выданных разрешений на ввод в эксплуатацию объектов капитального строительства (в год)»</t>
  </si>
  <si>
    <t>Показатель 1 «Количество выданных разрешений на строительство объектов капитального строительства (в год)»</t>
  </si>
  <si>
    <t>Показатель 1 «Количество выданных разрешений (ордеров) на проведение (производство) земляных работ (в год)»</t>
  </si>
  <si>
    <t>Показатель 1 задачи 2 – общая площадь введенных в эксплуатацию жилых помещений,  приходящаяся в среднем на одного жителя (в год)</t>
  </si>
  <si>
    <t>Показатель 1 «Количество проектов постановлений (в год)»</t>
  </si>
  <si>
    <t>Показатель 1  «Количество комплектов проектной документации»</t>
  </si>
  <si>
    <t>Показатель 3 «Доля ветхих и аварийных многоквартирных домов 
в муниципальном образовании «Северодвинск»</t>
  </si>
  <si>
    <t>Показатель 5 «Доля молодых семей, получивших социальные выплаты 
(от общего количества молодых семей, нуждающихся в улучшении жилищных условий)»</t>
  </si>
  <si>
    <t>Показатель 1 «Количество актов о технологическом присоединении 
к инженерным сетям в год»</t>
  </si>
  <si>
    <t>Показатель 2 «Протяженность введенного в эксплуатацию участка дороги 
в рамках реализации I этапа (две полосы движения из четырех)»</t>
  </si>
  <si>
    <t>Мероприятие 1.03 «Реконструкция проспекта Победы на участке 
от ул. Кирилкина до пр. Морской г. Северодвинск»</t>
  </si>
  <si>
    <t>Показатель 1 «Протяженность введенного в эксплуатацию участка дороги 
в рамках реализации I этапа (две полосы движения из четырех)»</t>
  </si>
  <si>
    <t>Показатель 2 «Протяженность введенного в эксплуатацию участка дороги 
в рамках реализации II этапа (две полосы движения из четырех)»</t>
  </si>
  <si>
    <t>Мероприятие 1.11 «Проектирование и строительство ливневой канализации вдоль улицы Портовой на участке от Архангельского шоссе 
до ул. Первомайской в городе Северодвинске Архангельской области»</t>
  </si>
  <si>
    <t>Мероприятие 1.14 «Строительство сетей холодного водоснабжения 
и канализации по улице Южной в городе Северодвинске Архангельской области»</t>
  </si>
  <si>
    <t>Мероприятие 1.16 «Проектирование и строительство коллектора ливневой канализации по ул. Октябрьская от выпуска по ул. Логинова до перспективных очистных сооружений по ул. Ричарда Ченслера
 в г. Северодвинске»</t>
  </si>
  <si>
    <t>Мероприятие 1.18 «Строительство коллектора ливневой канализации 
с установкой для очистки ливневых стоков в районе Приморского бульвара 
в г. Северодвинске Архангельской области»</t>
  </si>
  <si>
    <t>Показатель 3 «Площадь территории, на которой выполнены работы 
в соответствии с контрактом»</t>
  </si>
  <si>
    <t>Показатель 1 «Площадь территории, на которой выполнены работы 
в соответствии с контрактом»</t>
  </si>
  <si>
    <t>Мероприятие 1.20 «Реконструкция Набережной Александра Зрячева в г. Северодвинске (1 этап)»</t>
  </si>
  <si>
    <t>Показатель 5 «Протяженность введенного в эксплуатацию участка дороги 
в рамках реализации II этапа (две полосы движения из четырех)»</t>
  </si>
  <si>
    <t>Показатель 4 «Протяженность переустроенной ливневой канализации»</t>
  </si>
  <si>
    <t>Показатель 5 «Протяженность переустроенных труб водоснабжения и водоотведения»</t>
  </si>
  <si>
    <t>Показатель 5 «Количество приобретенных подъемных платформ»</t>
  </si>
  <si>
    <t>Показатель 5 «Площадь земельных участков, на которых выполнены работы в соответствии с контрактом»</t>
  </si>
  <si>
    <t>Показатель 2 «Протяженность введенного в эксплуатацию участка дороги в рамках реализации первого этапа строительства»</t>
  </si>
  <si>
    <t>Мероприятие 2.09  «Строительство физкультурно-оздоровительного комплекса с универсальным игровым залом  42*24 м в г. Северодвинске Архангельской области»</t>
  </si>
  <si>
    <t>Административное мероприятие 2.07 «Рассмотрение предложений физических и юридических лиц о внесении изменений в правила землепользования 
и застройки»</t>
  </si>
  <si>
    <t>Мероприятие 2.07 «Проектирование и строительство объекта «Детский сад 
на 280 мест в квартале 167 г. Северодвинска Архангельской области»</t>
  </si>
  <si>
    <t>Мероприятие 2.08 «Проектирование и строительство лыжной базы 
в г. Северодвинске Архангельской области»</t>
  </si>
  <si>
    <t>Мероприятие 1.19 «Строительство ливневого коллектора вдоль ул. Железнодорожной, от ул. Торцева до рефулерного озера, с устройством локальных очистных сооружений в г. Северодвинске»</t>
  </si>
  <si>
    <t>Соисполнители: Управление муниципального жилищного фонда Администрации Северодвинска;
                         Комитет по управлению муниципальным имуществом Администрации Северодвинска;
                         Комитет жилищно-коммунального хозяйства, транспорта и связи Администрации Северодвинска.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</si>
</sst>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_-* #,##0.0_р_._-;\-* #,##0.0_р_._-;_-* &quot;-&quot;??_р_._-;_-@_-"/>
    <numFmt numFmtId="183" formatCode="_-* #,##0.0_р_._-;\-* #,##0.0_р_._-;_-* &quot;-&quot;?_р_._-;_-@_-"/>
    <numFmt numFmtId="184" formatCode="#,##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"/>
    <numFmt numFmtId="190" formatCode="0.00000"/>
    <numFmt numFmtId="191" formatCode="0.0000"/>
    <numFmt numFmtId="192" formatCode="0.000"/>
    <numFmt numFmtId="193" formatCode="0.00000000"/>
    <numFmt numFmtId="194" formatCode="0.0000000"/>
    <numFmt numFmtId="195" formatCode="#,##0.0000"/>
    <numFmt numFmtId="196" formatCode="000000"/>
    <numFmt numFmtId="197" formatCode="0.0000000000"/>
    <numFmt numFmtId="198" formatCode="0.000000000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#,##0.00;[Red]\-#,##0.00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name val="Calibri"/>
      <family val="2"/>
    </font>
    <font>
      <sz val="8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name val="Calibri"/>
      <family val="2"/>
    </font>
    <font>
      <sz val="11"/>
      <color indexed="10"/>
      <name val="Calibri"/>
      <family val="2"/>
    </font>
    <font>
      <vertAlign val="superscript"/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5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8" borderId="0" applyNumberFormat="0" applyBorder="0" applyAlignment="0" applyProtection="0"/>
    <xf numFmtId="0" fontId="17" fillId="11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14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19" borderId="0" applyNumberFormat="0" applyBorder="0" applyAlignment="0" applyProtection="0"/>
    <xf numFmtId="0" fontId="18" fillId="5" borderId="0" applyNumberFormat="0" applyBorder="0" applyAlignment="0" applyProtection="0"/>
    <xf numFmtId="0" fontId="19" fillId="29" borderId="1" applyNumberFormat="0" applyAlignment="0" applyProtection="0"/>
    <xf numFmtId="0" fontId="20" fillId="27" borderId="2" applyNumberFormat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11" borderId="1" applyNumberFormat="0" applyAlignment="0" applyProtection="0"/>
    <xf numFmtId="0" fontId="27" fillId="0" borderId="6" applyNumberFormat="0" applyFill="0" applyAlignment="0" applyProtection="0"/>
    <xf numFmtId="0" fontId="28" fillId="30" borderId="0" applyNumberFormat="0" applyBorder="0" applyAlignment="0" applyProtection="0"/>
    <xf numFmtId="0" fontId="16" fillId="3" borderId="7" applyNumberFormat="0" applyFont="0" applyAlignment="0" applyProtection="0"/>
    <xf numFmtId="0" fontId="29" fillId="29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50" fillId="37" borderId="10" applyNumberFormat="0" applyAlignment="0" applyProtection="0"/>
    <xf numFmtId="0" fontId="51" fillId="38" borderId="11" applyNumberFormat="0" applyAlignment="0" applyProtection="0"/>
    <xf numFmtId="0" fontId="52" fillId="38" borderId="10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12" applyNumberFormat="0" applyFill="0" applyAlignment="0" applyProtection="0"/>
    <xf numFmtId="0" fontId="54" fillId="0" borderId="13" applyNumberFormat="0" applyFill="0" applyAlignment="0" applyProtection="0"/>
    <xf numFmtId="0" fontId="55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57" fillId="39" borderId="16" applyNumberFormat="0" applyAlignment="0" applyProtection="0"/>
    <xf numFmtId="0" fontId="58" fillId="0" borderId="0" applyNumberFormat="0" applyFill="0" applyBorder="0" applyAlignment="0" applyProtection="0"/>
    <xf numFmtId="0" fontId="59" fillId="40" borderId="0" applyNumberFormat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60" fillId="41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62" fillId="0" borderId="18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43" borderId="0" applyNumberFormat="0" applyBorder="0" applyAlignment="0" applyProtection="0"/>
  </cellStyleXfs>
  <cellXfs count="181">
    <xf numFmtId="0" fontId="0" fillId="0" borderId="0" xfId="0" applyAlignment="1">
      <alignment/>
    </xf>
    <xf numFmtId="0" fontId="35" fillId="44" borderId="0" xfId="0" applyFont="1" applyFill="1" applyBorder="1" applyAlignment="1">
      <alignment/>
    </xf>
    <xf numFmtId="0" fontId="2" fillId="44" borderId="0" xfId="0" applyFont="1" applyFill="1" applyBorder="1" applyAlignment="1">
      <alignment/>
    </xf>
    <xf numFmtId="0" fontId="15" fillId="44" borderId="0" xfId="0" applyFont="1" applyFill="1" applyBorder="1" applyAlignment="1">
      <alignment horizontal="center" vertical="center" wrapText="1"/>
    </xf>
    <xf numFmtId="0" fontId="36" fillId="44" borderId="0" xfId="0" applyNumberFormat="1" applyFont="1" applyFill="1" applyBorder="1" applyAlignment="1">
      <alignment/>
    </xf>
    <xf numFmtId="0" fontId="4" fillId="44" borderId="19" xfId="0" applyFont="1" applyFill="1" applyBorder="1" applyAlignment="1">
      <alignment horizontal="center" vertical="center" textRotation="90"/>
    </xf>
    <xf numFmtId="49" fontId="4" fillId="44" borderId="19" xfId="0" applyNumberFormat="1" applyFont="1" applyFill="1" applyBorder="1" applyAlignment="1">
      <alignment horizontal="center" vertical="center"/>
    </xf>
    <xf numFmtId="0" fontId="4" fillId="44" borderId="19" xfId="0" applyNumberFormat="1" applyFont="1" applyFill="1" applyBorder="1" applyAlignment="1">
      <alignment horizontal="center" vertical="center"/>
    </xf>
    <xf numFmtId="181" fontId="4" fillId="44" borderId="19" xfId="0" applyNumberFormat="1" applyFont="1" applyFill="1" applyBorder="1" applyAlignment="1">
      <alignment horizontal="center" vertical="center" wrapText="1"/>
    </xf>
    <xf numFmtId="0" fontId="4" fillId="44" borderId="19" xfId="0" applyFont="1" applyFill="1" applyBorder="1" applyAlignment="1">
      <alignment horizontal="center" vertical="center"/>
    </xf>
    <xf numFmtId="0" fontId="7" fillId="44" borderId="19" xfId="0" applyFont="1" applyFill="1" applyBorder="1" applyAlignment="1">
      <alignment horizontal="center" vertical="center"/>
    </xf>
    <xf numFmtId="0" fontId="5" fillId="44" borderId="19" xfId="0" applyFont="1" applyFill="1" applyBorder="1" applyAlignment="1">
      <alignment horizontal="justify" vertical="center" wrapText="1"/>
    </xf>
    <xf numFmtId="0" fontId="5" fillId="44" borderId="19" xfId="0" applyFont="1" applyFill="1" applyBorder="1" applyAlignment="1">
      <alignment horizontal="center" vertical="center" wrapText="1"/>
    </xf>
    <xf numFmtId="181" fontId="7" fillId="44" borderId="19" xfId="0" applyNumberFormat="1" applyFont="1" applyFill="1" applyBorder="1" applyAlignment="1">
      <alignment horizontal="center" vertical="center"/>
    </xf>
    <xf numFmtId="1" fontId="7" fillId="44" borderId="19" xfId="0" applyNumberFormat="1" applyFont="1" applyFill="1" applyBorder="1" applyAlignment="1">
      <alignment horizontal="center" vertical="center"/>
    </xf>
    <xf numFmtId="181" fontId="15" fillId="44" borderId="0" xfId="0" applyNumberFormat="1" applyFont="1" applyFill="1" applyBorder="1" applyAlignment="1">
      <alignment horizontal="center" vertical="center" wrapText="1"/>
    </xf>
    <xf numFmtId="181" fontId="2" fillId="44" borderId="0" xfId="0" applyNumberFormat="1" applyFont="1" applyFill="1" applyBorder="1" applyAlignment="1">
      <alignment/>
    </xf>
    <xf numFmtId="0" fontId="2" fillId="44" borderId="19" xfId="0" applyFont="1" applyFill="1" applyBorder="1" applyAlignment="1">
      <alignment horizontal="center" vertical="center"/>
    </xf>
    <xf numFmtId="0" fontId="4" fillId="44" borderId="19" xfId="0" applyFont="1" applyFill="1" applyBorder="1" applyAlignment="1">
      <alignment horizontal="justify" vertical="center" wrapText="1"/>
    </xf>
    <xf numFmtId="181" fontId="2" fillId="44" borderId="19" xfId="0" applyNumberFormat="1" applyFont="1" applyFill="1" applyBorder="1" applyAlignment="1">
      <alignment horizontal="center" vertical="center"/>
    </xf>
    <xf numFmtId="1" fontId="2" fillId="44" borderId="19" xfId="0" applyNumberFormat="1" applyFont="1" applyFill="1" applyBorder="1" applyAlignment="1">
      <alignment horizontal="center" vertical="center"/>
    </xf>
    <xf numFmtId="181" fontId="2" fillId="44" borderId="19" xfId="0" applyNumberFormat="1" applyFont="1" applyFill="1" applyBorder="1" applyAlignment="1">
      <alignment horizontal="center" vertical="center" wrapText="1"/>
    </xf>
    <xf numFmtId="2" fontId="2" fillId="44" borderId="19" xfId="0" applyNumberFormat="1" applyFont="1" applyFill="1" applyBorder="1" applyAlignment="1">
      <alignment horizontal="center" vertical="center" wrapText="1"/>
    </xf>
    <xf numFmtId="4" fontId="2" fillId="44" borderId="19" xfId="0" applyNumberFormat="1" applyFont="1" applyFill="1" applyBorder="1" applyAlignment="1">
      <alignment horizontal="center" vertical="center" wrapText="1"/>
    </xf>
    <xf numFmtId="4" fontId="2" fillId="44" borderId="19" xfId="0" applyNumberFormat="1" applyFont="1" applyFill="1" applyBorder="1" applyAlignment="1">
      <alignment horizontal="center" vertical="center"/>
    </xf>
    <xf numFmtId="180" fontId="2" fillId="44" borderId="19" xfId="0" applyNumberFormat="1" applyFont="1" applyFill="1" applyBorder="1" applyAlignment="1">
      <alignment horizontal="center" vertical="center" wrapText="1"/>
    </xf>
    <xf numFmtId="180" fontId="2" fillId="44" borderId="19" xfId="0" applyNumberFormat="1" applyFont="1" applyFill="1" applyBorder="1" applyAlignment="1">
      <alignment horizontal="center" vertical="center"/>
    </xf>
    <xf numFmtId="0" fontId="2" fillId="44" borderId="19" xfId="0" applyFont="1" applyFill="1" applyBorder="1" applyAlignment="1">
      <alignment horizontal="center" vertical="center" wrapText="1"/>
    </xf>
    <xf numFmtId="3" fontId="2" fillId="44" borderId="19" xfId="0" applyNumberFormat="1" applyFont="1" applyFill="1" applyBorder="1" applyAlignment="1">
      <alignment horizontal="center" vertical="center" wrapText="1"/>
    </xf>
    <xf numFmtId="3" fontId="2" fillId="44" borderId="19" xfId="0" applyNumberFormat="1" applyFont="1" applyFill="1" applyBorder="1" applyAlignment="1">
      <alignment horizontal="center" vertical="center"/>
    </xf>
    <xf numFmtId="181" fontId="7" fillId="44" borderId="19" xfId="0" applyNumberFormat="1" applyFont="1" applyFill="1" applyBorder="1" applyAlignment="1">
      <alignment horizontal="center" vertical="center" wrapText="1"/>
    </xf>
    <xf numFmtId="0" fontId="2" fillId="44" borderId="0" xfId="0" applyFont="1" applyFill="1" applyBorder="1" applyAlignment="1">
      <alignment horizontal="center"/>
    </xf>
    <xf numFmtId="0" fontId="15" fillId="44" borderId="0" xfId="0" applyFont="1" applyFill="1" applyBorder="1" applyAlignment="1">
      <alignment wrapText="1"/>
    </xf>
    <xf numFmtId="1" fontId="2" fillId="44" borderId="0" xfId="0" applyNumberFormat="1" applyFont="1" applyFill="1" applyBorder="1" applyAlignment="1">
      <alignment/>
    </xf>
    <xf numFmtId="180" fontId="2" fillId="44" borderId="0" xfId="0" applyNumberFormat="1" applyFont="1" applyFill="1" applyBorder="1" applyAlignment="1">
      <alignment/>
    </xf>
    <xf numFmtId="0" fontId="2" fillId="44" borderId="19" xfId="0" applyFont="1" applyFill="1" applyBorder="1" applyAlignment="1">
      <alignment/>
    </xf>
    <xf numFmtId="0" fontId="4" fillId="44" borderId="19" xfId="0" applyFont="1" applyFill="1" applyBorder="1" applyAlignment="1">
      <alignment horizontal="center"/>
    </xf>
    <xf numFmtId="181" fontId="2" fillId="44" borderId="20" xfId="0" applyNumberFormat="1" applyFont="1" applyFill="1" applyBorder="1" applyAlignment="1">
      <alignment horizontal="center" vertical="center" wrapText="1"/>
    </xf>
    <xf numFmtId="180" fontId="4" fillId="44" borderId="19" xfId="0" applyNumberFormat="1" applyFont="1" applyFill="1" applyBorder="1" applyAlignment="1">
      <alignment horizontal="center" vertical="center" wrapText="1"/>
    </xf>
    <xf numFmtId="4" fontId="15" fillId="44" borderId="0" xfId="0" applyNumberFormat="1" applyFont="1" applyFill="1" applyBorder="1" applyAlignment="1">
      <alignment horizontal="center" vertical="center" wrapText="1"/>
    </xf>
    <xf numFmtId="192" fontId="2" fillId="44" borderId="19" xfId="0" applyNumberFormat="1" applyFont="1" applyFill="1" applyBorder="1" applyAlignment="1">
      <alignment horizontal="center" vertical="center" wrapText="1"/>
    </xf>
    <xf numFmtId="184" fontId="2" fillId="44" borderId="19" xfId="0" applyNumberFormat="1" applyFont="1" applyFill="1" applyBorder="1" applyAlignment="1">
      <alignment horizontal="center" vertical="center" wrapText="1"/>
    </xf>
    <xf numFmtId="4" fontId="2" fillId="44" borderId="19" xfId="102" applyNumberFormat="1" applyFont="1" applyFill="1" applyBorder="1" applyAlignment="1">
      <alignment horizontal="center" vertical="center" wrapText="1"/>
    </xf>
    <xf numFmtId="3" fontId="2" fillId="44" borderId="20" xfId="0" applyNumberFormat="1" applyFont="1" applyFill="1" applyBorder="1" applyAlignment="1">
      <alignment horizontal="center" vertical="center" wrapText="1"/>
    </xf>
    <xf numFmtId="181" fontId="2" fillId="44" borderId="21" xfId="102" applyNumberFormat="1" applyFont="1" applyFill="1" applyBorder="1" applyAlignment="1">
      <alignment horizontal="center" vertical="center" wrapText="1"/>
    </xf>
    <xf numFmtId="181" fontId="2" fillId="44" borderId="22" xfId="102" applyNumberFormat="1" applyFont="1" applyFill="1" applyBorder="1" applyAlignment="1">
      <alignment horizontal="center" vertical="center" wrapText="1"/>
    </xf>
    <xf numFmtId="2" fontId="2" fillId="44" borderId="23" xfId="0" applyNumberFormat="1" applyFont="1" applyFill="1" applyBorder="1" applyAlignment="1">
      <alignment horizontal="center" vertical="center" wrapText="1"/>
    </xf>
    <xf numFmtId="181" fontId="2" fillId="44" borderId="23" xfId="0" applyNumberFormat="1" applyFont="1" applyFill="1" applyBorder="1" applyAlignment="1">
      <alignment horizontal="center" vertical="center" wrapText="1"/>
    </xf>
    <xf numFmtId="4" fontId="2" fillId="44" borderId="23" xfId="0" applyNumberFormat="1" applyFont="1" applyFill="1" applyBorder="1" applyAlignment="1">
      <alignment horizontal="center" vertical="center" wrapText="1"/>
    </xf>
    <xf numFmtId="181" fontId="2" fillId="44" borderId="23" xfId="0" applyNumberFormat="1" applyFont="1" applyFill="1" applyBorder="1" applyAlignment="1">
      <alignment horizontal="center" vertical="center"/>
    </xf>
    <xf numFmtId="181" fontId="2" fillId="44" borderId="19" xfId="102" applyNumberFormat="1" applyFont="1" applyFill="1" applyBorder="1" applyAlignment="1">
      <alignment horizontal="center" vertical="center" wrapText="1"/>
    </xf>
    <xf numFmtId="3" fontId="2" fillId="44" borderId="19" xfId="102" applyNumberFormat="1" applyFont="1" applyFill="1" applyBorder="1" applyAlignment="1">
      <alignment horizontal="center" vertical="center" wrapText="1"/>
    </xf>
    <xf numFmtId="181" fontId="4" fillId="44" borderId="23" xfId="0" applyNumberFormat="1" applyFont="1" applyFill="1" applyBorder="1" applyAlignment="1">
      <alignment horizontal="center" vertical="center" wrapText="1"/>
    </xf>
    <xf numFmtId="181" fontId="2" fillId="44" borderId="24" xfId="0" applyNumberFormat="1" applyFont="1" applyFill="1" applyBorder="1" applyAlignment="1">
      <alignment horizontal="center" vertical="center" wrapText="1"/>
    </xf>
    <xf numFmtId="181" fontId="2" fillId="44" borderId="23" xfId="102" applyNumberFormat="1" applyFont="1" applyFill="1" applyBorder="1" applyAlignment="1">
      <alignment horizontal="center" vertical="center"/>
    </xf>
    <xf numFmtId="181" fontId="2" fillId="44" borderId="19" xfId="102" applyNumberFormat="1" applyFont="1" applyFill="1" applyBorder="1" applyAlignment="1">
      <alignment horizontal="center" vertical="center"/>
    </xf>
    <xf numFmtId="180" fontId="2" fillId="44" borderId="23" xfId="0" applyNumberFormat="1" applyFont="1" applyFill="1" applyBorder="1" applyAlignment="1">
      <alignment horizontal="center" vertical="center" wrapText="1"/>
    </xf>
    <xf numFmtId="0" fontId="2" fillId="44" borderId="23" xfId="0" applyFont="1" applyFill="1" applyBorder="1" applyAlignment="1">
      <alignment horizontal="center" vertical="center" wrapText="1"/>
    </xf>
    <xf numFmtId="3" fontId="4" fillId="44" borderId="19" xfId="0" applyNumberFormat="1" applyFont="1" applyFill="1" applyBorder="1" applyAlignment="1">
      <alignment horizontal="center" vertical="center" wrapText="1"/>
    </xf>
    <xf numFmtId="0" fontId="2" fillId="44" borderId="25" xfId="0" applyFont="1" applyFill="1" applyBorder="1" applyAlignment="1">
      <alignment horizontal="center" vertical="center"/>
    </xf>
    <xf numFmtId="3" fontId="2" fillId="44" borderId="23" xfId="0" applyNumberFormat="1" applyFont="1" applyFill="1" applyBorder="1" applyAlignment="1">
      <alignment horizontal="center" vertical="center" wrapText="1"/>
    </xf>
    <xf numFmtId="4" fontId="2" fillId="44" borderId="0" xfId="0" applyNumberFormat="1" applyFont="1" applyFill="1" applyBorder="1" applyAlignment="1">
      <alignment/>
    </xf>
    <xf numFmtId="184" fontId="2" fillId="44" borderId="19" xfId="0" applyNumberFormat="1" applyFont="1" applyFill="1" applyBorder="1" applyAlignment="1">
      <alignment horizontal="center" vertical="center"/>
    </xf>
    <xf numFmtId="4" fontId="4" fillId="44" borderId="19" xfId="0" applyNumberFormat="1" applyFont="1" applyFill="1" applyBorder="1" applyAlignment="1">
      <alignment horizontal="center" vertical="center" wrapText="1"/>
    </xf>
    <xf numFmtId="4" fontId="7" fillId="44" borderId="19" xfId="0" applyNumberFormat="1" applyFont="1" applyFill="1" applyBorder="1" applyAlignment="1">
      <alignment horizontal="center" vertical="center" wrapText="1"/>
    </xf>
    <xf numFmtId="4" fontId="5" fillId="44" borderId="19" xfId="0" applyNumberFormat="1" applyFont="1" applyFill="1" applyBorder="1" applyAlignment="1">
      <alignment horizontal="center" vertical="center" wrapText="1"/>
    </xf>
    <xf numFmtId="181" fontId="2" fillId="44" borderId="20" xfId="0" applyNumberFormat="1" applyFont="1" applyFill="1" applyBorder="1" applyAlignment="1">
      <alignment horizontal="center" vertical="center"/>
    </xf>
    <xf numFmtId="3" fontId="4" fillId="44" borderId="19" xfId="0" applyNumberFormat="1" applyFont="1" applyFill="1" applyBorder="1" applyAlignment="1">
      <alignment horizontal="center" vertical="center"/>
    </xf>
    <xf numFmtId="3" fontId="2" fillId="44" borderId="25" xfId="0" applyNumberFormat="1" applyFont="1" applyFill="1" applyBorder="1" applyAlignment="1">
      <alignment horizontal="center" vertical="center"/>
    </xf>
    <xf numFmtId="0" fontId="2" fillId="44" borderId="21" xfId="0" applyFont="1" applyFill="1" applyBorder="1" applyAlignment="1">
      <alignment horizontal="center" vertical="center"/>
    </xf>
    <xf numFmtId="181" fontId="2" fillId="44" borderId="25" xfId="0" applyNumberFormat="1" applyFont="1" applyFill="1" applyBorder="1" applyAlignment="1">
      <alignment horizontal="center" vertical="center"/>
    </xf>
    <xf numFmtId="0" fontId="5" fillId="44" borderId="19" xfId="0" applyFont="1" applyFill="1" applyBorder="1" applyAlignment="1">
      <alignment horizontal="center" vertical="center"/>
    </xf>
    <xf numFmtId="181" fontId="5" fillId="44" borderId="19" xfId="0" applyNumberFormat="1" applyFont="1" applyFill="1" applyBorder="1" applyAlignment="1">
      <alignment horizontal="center" vertical="center" wrapText="1"/>
    </xf>
    <xf numFmtId="0" fontId="4" fillId="44" borderId="19" xfId="0" applyFont="1" applyFill="1" applyBorder="1" applyAlignment="1">
      <alignment horizontal="left" vertical="center" wrapText="1"/>
    </xf>
    <xf numFmtId="1" fontId="4" fillId="44" borderId="19" xfId="0" applyNumberFormat="1" applyFont="1" applyFill="1" applyBorder="1" applyAlignment="1">
      <alignment horizontal="center" vertical="center" wrapText="1"/>
    </xf>
    <xf numFmtId="0" fontId="4" fillId="44" borderId="19" xfId="0" applyFont="1" applyFill="1" applyBorder="1" applyAlignment="1">
      <alignment/>
    </xf>
    <xf numFmtId="0" fontId="4" fillId="44" borderId="0" xfId="0" applyFont="1" applyFill="1" applyBorder="1" applyAlignment="1">
      <alignment horizontal="center" vertical="center"/>
    </xf>
    <xf numFmtId="0" fontId="4" fillId="44" borderId="0" xfId="0" applyFont="1" applyFill="1" applyBorder="1" applyAlignment="1">
      <alignment horizontal="center" vertical="center" wrapText="1"/>
    </xf>
    <xf numFmtId="0" fontId="4" fillId="44" borderId="0" xfId="0" applyFont="1" applyFill="1" applyBorder="1" applyAlignment="1">
      <alignment horizontal="left" vertical="center" wrapText="1"/>
    </xf>
    <xf numFmtId="1" fontId="4" fillId="44" borderId="0" xfId="0" applyNumberFormat="1" applyFont="1" applyFill="1" applyBorder="1" applyAlignment="1">
      <alignment horizontal="center" vertical="center" wrapText="1"/>
    </xf>
    <xf numFmtId="1" fontId="4" fillId="44" borderId="0" xfId="94" applyNumberFormat="1" applyFont="1" applyFill="1" applyBorder="1" applyAlignment="1">
      <alignment horizontal="center" vertical="center" wrapText="1"/>
      <protection/>
    </xf>
    <xf numFmtId="1" fontId="2" fillId="44" borderId="0" xfId="0" applyNumberFormat="1" applyFont="1" applyFill="1" applyBorder="1" applyAlignment="1">
      <alignment horizontal="center" vertical="center"/>
    </xf>
    <xf numFmtId="0" fontId="6" fillId="44" borderId="0" xfId="0" applyFont="1" applyFill="1" applyAlignment="1">
      <alignment/>
    </xf>
    <xf numFmtId="0" fontId="2" fillId="44" borderId="0" xfId="0" applyFont="1" applyFill="1" applyAlignment="1">
      <alignment/>
    </xf>
    <xf numFmtId="0" fontId="35" fillId="44" borderId="0" xfId="0" applyNumberFormat="1" applyFont="1" applyFill="1" applyBorder="1" applyAlignment="1">
      <alignment/>
    </xf>
    <xf numFmtId="0" fontId="34" fillId="44" borderId="0" xfId="0" applyNumberFormat="1" applyFont="1" applyFill="1" applyBorder="1" applyAlignment="1">
      <alignment/>
    </xf>
    <xf numFmtId="181" fontId="2" fillId="44" borderId="25" xfId="0" applyNumberFormat="1" applyFont="1" applyFill="1" applyBorder="1" applyAlignment="1">
      <alignment horizontal="center" vertical="center" wrapText="1"/>
    </xf>
    <xf numFmtId="0" fontId="38" fillId="44" borderId="0" xfId="0" applyFont="1" applyFill="1" applyBorder="1" applyAlignment="1">
      <alignment horizontal="center" vertical="center" wrapText="1"/>
    </xf>
    <xf numFmtId="181" fontId="11" fillId="44" borderId="19" xfId="0" applyNumberFormat="1" applyFont="1" applyFill="1" applyBorder="1" applyAlignment="1">
      <alignment horizontal="center" vertical="center" wrapText="1"/>
    </xf>
    <xf numFmtId="180" fontId="11" fillId="44" borderId="19" xfId="0" applyNumberFormat="1" applyFont="1" applyFill="1" applyBorder="1" applyAlignment="1">
      <alignment horizontal="center" vertical="center" wrapText="1"/>
    </xf>
    <xf numFmtId="180" fontId="2" fillId="44" borderId="23" xfId="0" applyNumberFormat="1" applyFont="1" applyFill="1" applyBorder="1" applyAlignment="1">
      <alignment horizontal="center" vertical="center"/>
    </xf>
    <xf numFmtId="0" fontId="4" fillId="44" borderId="19" xfId="0" applyFont="1" applyFill="1" applyBorder="1" applyAlignment="1">
      <alignment horizontal="center" vertical="center" wrapText="1"/>
    </xf>
    <xf numFmtId="0" fontId="4" fillId="44" borderId="19" xfId="0" applyFont="1" applyFill="1" applyBorder="1" applyAlignment="1">
      <alignment horizontal="center" vertical="center" textRotation="90" wrapText="1"/>
    </xf>
    <xf numFmtId="0" fontId="4" fillId="44" borderId="21" xfId="0" applyFont="1" applyFill="1" applyBorder="1" applyAlignment="1">
      <alignment horizontal="center" vertical="center" wrapText="1"/>
    </xf>
    <xf numFmtId="0" fontId="34" fillId="44" borderId="0" xfId="0" applyFont="1" applyFill="1" applyAlignment="1">
      <alignment horizontal="center"/>
    </xf>
    <xf numFmtId="0" fontId="2" fillId="44" borderId="0" xfId="0" applyFont="1" applyFill="1" applyAlignment="1">
      <alignment horizontal="center" vertical="top" wrapText="1"/>
    </xf>
    <xf numFmtId="0" fontId="6" fillId="44" borderId="0" xfId="0" applyFont="1" applyFill="1" applyAlignment="1">
      <alignment wrapText="1"/>
    </xf>
    <xf numFmtId="0" fontId="6" fillId="44" borderId="0" xfId="0" applyFont="1" applyFill="1" applyAlignment="1">
      <alignment/>
    </xf>
    <xf numFmtId="0" fontId="2" fillId="44" borderId="0" xfId="0" applyFont="1" applyFill="1" applyBorder="1" applyAlignment="1">
      <alignment horizontal="center" vertical="top" wrapText="1"/>
    </xf>
    <xf numFmtId="0" fontId="2" fillId="44" borderId="19" xfId="0" applyFont="1" applyFill="1" applyBorder="1" applyAlignment="1">
      <alignment horizontal="center" wrapText="1"/>
    </xf>
    <xf numFmtId="0" fontId="2" fillId="44" borderId="19" xfId="0" applyFont="1" applyFill="1" applyBorder="1" applyAlignment="1">
      <alignment horizontal="center" vertical="top" wrapText="1"/>
    </xf>
    <xf numFmtId="0" fontId="2" fillId="44" borderId="19" xfId="0" applyFont="1" applyFill="1" applyBorder="1" applyAlignment="1">
      <alignment horizontal="left" vertical="top" wrapText="1"/>
    </xf>
    <xf numFmtId="0" fontId="2" fillId="44" borderId="19" xfId="0" applyFont="1" applyFill="1" applyBorder="1" applyAlignment="1">
      <alignment horizontal="justify" vertical="top" wrapText="1"/>
    </xf>
    <xf numFmtId="0" fontId="2" fillId="44" borderId="26" xfId="0" applyFont="1" applyFill="1" applyBorder="1" applyAlignment="1">
      <alignment horizontal="center" vertical="top" wrapText="1"/>
    </xf>
    <xf numFmtId="0" fontId="2" fillId="44" borderId="19" xfId="0" applyFont="1" applyFill="1" applyBorder="1" applyAlignment="1">
      <alignment horizontal="justify" wrapText="1"/>
    </xf>
    <xf numFmtId="49" fontId="2" fillId="44" borderId="19" xfId="0" applyNumberFormat="1" applyFont="1" applyFill="1" applyBorder="1" applyAlignment="1">
      <alignment horizontal="justify" wrapText="1"/>
    </xf>
    <xf numFmtId="0" fontId="11" fillId="44" borderId="19" xfId="0" applyFont="1" applyFill="1" applyBorder="1" applyAlignment="1">
      <alignment horizontal="center" vertical="center" wrapText="1"/>
    </xf>
    <xf numFmtId="11" fontId="2" fillId="44" borderId="19" xfId="0" applyNumberFormat="1" applyFont="1" applyFill="1" applyBorder="1" applyAlignment="1">
      <alignment horizontal="justify" vertical="top" wrapText="1"/>
    </xf>
    <xf numFmtId="181" fontId="11" fillId="44" borderId="20" xfId="0" applyNumberFormat="1" applyFont="1" applyFill="1" applyBorder="1" applyAlignment="1">
      <alignment horizontal="center" vertical="center" wrapText="1"/>
    </xf>
    <xf numFmtId="0" fontId="11" fillId="44" borderId="20" xfId="0" applyFont="1" applyFill="1" applyBorder="1" applyAlignment="1">
      <alignment horizontal="center" vertical="center" wrapText="1"/>
    </xf>
    <xf numFmtId="49" fontId="2" fillId="44" borderId="19" xfId="0" applyNumberFormat="1" applyFont="1" applyFill="1" applyBorder="1" applyAlignment="1">
      <alignment horizontal="justify" vertical="top" wrapText="1"/>
    </xf>
    <xf numFmtId="1" fontId="2" fillId="44" borderId="19" xfId="0" applyNumberFormat="1" applyFont="1" applyFill="1" applyBorder="1" applyAlignment="1">
      <alignment horizontal="center" vertical="center" wrapText="1"/>
    </xf>
    <xf numFmtId="0" fontId="2" fillId="44" borderId="27" xfId="0" applyFont="1" applyFill="1" applyBorder="1" applyAlignment="1">
      <alignment horizontal="center" vertical="top" wrapText="1"/>
    </xf>
    <xf numFmtId="49" fontId="2" fillId="44" borderId="19" xfId="0" applyNumberFormat="1" applyFont="1" applyFill="1" applyBorder="1" applyAlignment="1">
      <alignment horizontal="left" wrapText="1" indent="1"/>
    </xf>
    <xf numFmtId="0" fontId="2" fillId="44" borderId="0" xfId="0" applyFont="1" applyFill="1" applyAlignment="1">
      <alignment wrapText="1"/>
    </xf>
    <xf numFmtId="0" fontId="2" fillId="44" borderId="20" xfId="0" applyFont="1" applyFill="1" applyBorder="1" applyAlignment="1">
      <alignment horizontal="center" vertical="top" wrapText="1"/>
    </xf>
    <xf numFmtId="0" fontId="2" fillId="44" borderId="19" xfId="0" applyFont="1" applyFill="1" applyBorder="1" applyAlignment="1">
      <alignment horizontal="justify" vertical="center" wrapText="1"/>
    </xf>
    <xf numFmtId="0" fontId="6" fillId="44" borderId="19" xfId="0" applyFont="1" applyFill="1" applyBorder="1" applyAlignment="1">
      <alignment horizontal="center" vertical="top" wrapText="1"/>
    </xf>
    <xf numFmtId="0" fontId="34" fillId="44" borderId="0" xfId="0" applyFont="1" applyFill="1" applyBorder="1" applyAlignment="1">
      <alignment horizontal="center" vertical="top" wrapText="1"/>
    </xf>
    <xf numFmtId="181" fontId="2" fillId="44" borderId="19" xfId="0" applyNumberFormat="1" applyFont="1" applyFill="1" applyBorder="1" applyAlignment="1">
      <alignment vertical="center"/>
    </xf>
    <xf numFmtId="49" fontId="2" fillId="44" borderId="19" xfId="0" applyNumberFormat="1" applyFont="1" applyFill="1" applyBorder="1" applyAlignment="1">
      <alignment horizontal="justify" vertical="center" wrapText="1"/>
    </xf>
    <xf numFmtId="1" fontId="2" fillId="44" borderId="23" xfId="0" applyNumberFormat="1" applyFont="1" applyFill="1" applyBorder="1" applyAlignment="1">
      <alignment horizontal="center" vertical="top" wrapText="1"/>
    </xf>
    <xf numFmtId="180" fontId="2" fillId="44" borderId="20" xfId="0" applyNumberFormat="1" applyFont="1" applyFill="1" applyBorder="1" applyAlignment="1">
      <alignment horizontal="center" vertical="top" wrapText="1"/>
    </xf>
    <xf numFmtId="49" fontId="2" fillId="44" borderId="21" xfId="0" applyNumberFormat="1" applyFont="1" applyFill="1" applyBorder="1" applyAlignment="1">
      <alignment horizontal="justify" vertical="top" wrapText="1"/>
    </xf>
    <xf numFmtId="1" fontId="2" fillId="44" borderId="19" xfId="0" applyNumberFormat="1" applyFont="1" applyFill="1" applyBorder="1" applyAlignment="1">
      <alignment horizontal="center" vertical="top" wrapText="1"/>
    </xf>
    <xf numFmtId="0" fontId="2" fillId="44" borderId="21" xfId="0" applyFont="1" applyFill="1" applyBorder="1" applyAlignment="1">
      <alignment horizontal="justify" vertical="top" wrapText="1"/>
    </xf>
    <xf numFmtId="0" fontId="2" fillId="44" borderId="23" xfId="0" applyFont="1" applyFill="1" applyBorder="1" applyAlignment="1">
      <alignment horizontal="center" vertical="top" wrapText="1"/>
    </xf>
    <xf numFmtId="11" fontId="2" fillId="44" borderId="21" xfId="0" applyNumberFormat="1" applyFont="1" applyFill="1" applyBorder="1" applyAlignment="1">
      <alignment horizontal="justify" vertical="top" wrapText="1"/>
    </xf>
    <xf numFmtId="1" fontId="2" fillId="44" borderId="23" xfId="0" applyNumberFormat="1" applyFont="1" applyFill="1" applyBorder="1" applyAlignment="1">
      <alignment horizontal="center" vertical="center" wrapText="1"/>
    </xf>
    <xf numFmtId="0" fontId="2" fillId="44" borderId="19" xfId="0" applyFont="1" applyFill="1" applyBorder="1" applyAlignment="1">
      <alignment horizontal="left" wrapText="1" indent="2"/>
    </xf>
    <xf numFmtId="0" fontId="34" fillId="44" borderId="0" xfId="0" applyFont="1" applyFill="1" applyBorder="1" applyAlignment="1">
      <alignment horizontal="center" wrapText="1"/>
    </xf>
    <xf numFmtId="0" fontId="2" fillId="44" borderId="19" xfId="0" applyFont="1" applyFill="1" applyBorder="1" applyAlignment="1">
      <alignment horizontal="left" wrapText="1"/>
    </xf>
    <xf numFmtId="0" fontId="14" fillId="44" borderId="19" xfId="0" applyFont="1" applyFill="1" applyBorder="1" applyAlignment="1">
      <alignment horizontal="center" vertical="center" wrapText="1"/>
    </xf>
    <xf numFmtId="0" fontId="2" fillId="44" borderId="19" xfId="0" applyFont="1" applyFill="1" applyBorder="1" applyAlignment="1">
      <alignment vertical="top" wrapText="1"/>
    </xf>
    <xf numFmtId="0" fontId="0" fillId="44" borderId="0" xfId="0" applyFont="1" applyFill="1" applyAlignment="1">
      <alignment/>
    </xf>
    <xf numFmtId="0" fontId="4" fillId="44" borderId="19" xfId="0" applyFont="1" applyFill="1" applyBorder="1" applyAlignment="1">
      <alignment horizontal="left" vertical="center" textRotation="90" wrapText="1"/>
    </xf>
    <xf numFmtId="0" fontId="10" fillId="44" borderId="19" xfId="0" applyFont="1" applyFill="1" applyBorder="1" applyAlignment="1">
      <alignment vertical="center" textRotation="90" wrapText="1"/>
    </xf>
    <xf numFmtId="0" fontId="4" fillId="44" borderId="19" xfId="0" applyFont="1" applyFill="1" applyBorder="1" applyAlignment="1">
      <alignment horizontal="center" vertical="center" wrapText="1"/>
    </xf>
    <xf numFmtId="0" fontId="10" fillId="44" borderId="19" xfId="0" applyFont="1" applyFill="1" applyBorder="1" applyAlignment="1">
      <alignment horizontal="center" vertical="center" wrapText="1"/>
    </xf>
    <xf numFmtId="0" fontId="4" fillId="44" borderId="19" xfId="0" applyFont="1" applyFill="1" applyBorder="1" applyAlignment="1">
      <alignment horizontal="center" vertical="center" textRotation="90" wrapText="1"/>
    </xf>
    <xf numFmtId="0" fontId="4" fillId="44" borderId="21" xfId="0" applyFont="1" applyFill="1" applyBorder="1" applyAlignment="1">
      <alignment horizontal="center" vertical="center" wrapText="1"/>
    </xf>
    <xf numFmtId="0" fontId="4" fillId="44" borderId="28" xfId="0" applyFont="1" applyFill="1" applyBorder="1" applyAlignment="1">
      <alignment horizontal="center" vertical="center" wrapText="1"/>
    </xf>
    <xf numFmtId="0" fontId="10" fillId="44" borderId="28" xfId="0" applyFont="1" applyFill="1" applyBorder="1" applyAlignment="1">
      <alignment horizontal="center" vertical="center" wrapText="1"/>
    </xf>
    <xf numFmtId="0" fontId="0" fillId="44" borderId="28" xfId="0" applyFont="1" applyFill="1" applyBorder="1" applyAlignment="1">
      <alignment horizontal="center" vertical="center" wrapText="1"/>
    </xf>
    <xf numFmtId="0" fontId="0" fillId="44" borderId="25" xfId="0" applyFont="1" applyFill="1" applyBorder="1" applyAlignment="1">
      <alignment horizontal="center" vertical="center" wrapText="1"/>
    </xf>
    <xf numFmtId="0" fontId="35" fillId="44" borderId="0" xfId="0" applyFont="1" applyFill="1" applyBorder="1" applyAlignment="1">
      <alignment wrapText="1"/>
    </xf>
    <xf numFmtId="0" fontId="37" fillId="44" borderId="0" xfId="0" applyFont="1" applyFill="1" applyAlignment="1">
      <alignment/>
    </xf>
    <xf numFmtId="0" fontId="35" fillId="44" borderId="0" xfId="0" applyFont="1" applyFill="1" applyBorder="1" applyAlignment="1">
      <alignment/>
    </xf>
    <xf numFmtId="0" fontId="35" fillId="44" borderId="0" xfId="0" applyFont="1" applyFill="1" applyBorder="1" applyAlignment="1">
      <alignment horizontal="center"/>
    </xf>
    <xf numFmtId="0" fontId="2" fillId="44" borderId="19" xfId="0" applyFont="1" applyFill="1" applyBorder="1" applyAlignment="1">
      <alignment horizontal="center" vertical="top" wrapText="1"/>
    </xf>
    <xf numFmtId="0" fontId="2" fillId="44" borderId="19" xfId="0" applyFont="1" applyFill="1" applyBorder="1" applyAlignment="1">
      <alignment horizontal="left" vertical="top" wrapText="1"/>
    </xf>
    <xf numFmtId="0" fontId="2" fillId="44" borderId="20" xfId="0" applyFont="1" applyFill="1" applyBorder="1" applyAlignment="1">
      <alignment horizontal="justify" vertical="top" wrapText="1"/>
    </xf>
    <xf numFmtId="0" fontId="2" fillId="44" borderId="27" xfId="0" applyFont="1" applyFill="1" applyBorder="1" applyAlignment="1">
      <alignment horizontal="justify" vertical="top" wrapText="1"/>
    </xf>
    <xf numFmtId="0" fontId="0" fillId="44" borderId="23" xfId="0" applyFont="1" applyFill="1" applyBorder="1" applyAlignment="1">
      <alignment horizontal="justify" vertical="top" wrapText="1"/>
    </xf>
    <xf numFmtId="0" fontId="2" fillId="44" borderId="20" xfId="0" applyFont="1" applyFill="1" applyBorder="1" applyAlignment="1">
      <alignment horizontal="center" vertical="top" wrapText="1"/>
    </xf>
    <xf numFmtId="0" fontId="2" fillId="44" borderId="27" xfId="0" applyFont="1" applyFill="1" applyBorder="1" applyAlignment="1">
      <alignment horizontal="center" vertical="top" wrapText="1"/>
    </xf>
    <xf numFmtId="0" fontId="2" fillId="44" borderId="23" xfId="0" applyFont="1" applyFill="1" applyBorder="1" applyAlignment="1">
      <alignment horizontal="center" vertical="top" wrapText="1"/>
    </xf>
    <xf numFmtId="0" fontId="4" fillId="44" borderId="19" xfId="0" applyFont="1" applyFill="1" applyBorder="1" applyAlignment="1">
      <alignment horizontal="center" vertical="top" wrapText="1"/>
    </xf>
    <xf numFmtId="0" fontId="34" fillId="44" borderId="19" xfId="0" applyFont="1" applyFill="1" applyBorder="1" applyAlignment="1">
      <alignment horizontal="center" vertical="top" wrapText="1"/>
    </xf>
    <xf numFmtId="0" fontId="2" fillId="44" borderId="19" xfId="0" applyFont="1" applyFill="1" applyBorder="1" applyAlignment="1">
      <alignment horizontal="justify" vertical="top" wrapText="1"/>
    </xf>
    <xf numFmtId="0" fontId="0" fillId="44" borderId="19" xfId="0" applyFont="1" applyFill="1" applyBorder="1" applyAlignment="1">
      <alignment vertical="top" wrapText="1"/>
    </xf>
    <xf numFmtId="0" fontId="34" fillId="44" borderId="19" xfId="0" applyFont="1" applyFill="1" applyBorder="1" applyAlignment="1">
      <alignment horizontal="center" wrapText="1"/>
    </xf>
    <xf numFmtId="0" fontId="2" fillId="44" borderId="29" xfId="0" applyFont="1" applyFill="1" applyBorder="1" applyAlignment="1">
      <alignment vertical="top" wrapText="1"/>
    </xf>
    <xf numFmtId="0" fontId="2" fillId="44" borderId="30" xfId="0" applyFont="1" applyFill="1" applyBorder="1" applyAlignment="1">
      <alignment vertical="top" wrapText="1"/>
    </xf>
    <xf numFmtId="0" fontId="2" fillId="44" borderId="26" xfId="0" applyFont="1" applyFill="1" applyBorder="1" applyAlignment="1">
      <alignment horizontal="center" vertical="top" wrapText="1"/>
    </xf>
    <xf numFmtId="0" fontId="0" fillId="44" borderId="27" xfId="0" applyFont="1" applyFill="1" applyBorder="1" applyAlignment="1">
      <alignment horizontal="center" vertical="top" wrapText="1"/>
    </xf>
    <xf numFmtId="0" fontId="2" fillId="44" borderId="20" xfId="0" applyFont="1" applyFill="1" applyBorder="1" applyAlignment="1">
      <alignment horizontal="left" vertical="top" wrapText="1"/>
    </xf>
    <xf numFmtId="0" fontId="2" fillId="44" borderId="27" xfId="0" applyFont="1" applyFill="1" applyBorder="1" applyAlignment="1">
      <alignment horizontal="left" vertical="top" wrapText="1"/>
    </xf>
    <xf numFmtId="0" fontId="0" fillId="44" borderId="27" xfId="0" applyFont="1" applyFill="1" applyBorder="1" applyAlignment="1">
      <alignment horizontal="left" vertical="top" wrapText="1"/>
    </xf>
    <xf numFmtId="0" fontId="0" fillId="44" borderId="23" xfId="0" applyFont="1" applyFill="1" applyBorder="1" applyAlignment="1">
      <alignment horizontal="left" vertical="top" wrapText="1"/>
    </xf>
    <xf numFmtId="0" fontId="0" fillId="44" borderId="23" xfId="0" applyFont="1" applyFill="1" applyBorder="1" applyAlignment="1">
      <alignment horizontal="center" vertical="top" wrapText="1"/>
    </xf>
    <xf numFmtId="0" fontId="2" fillId="44" borderId="20" xfId="0" applyFont="1" applyFill="1" applyBorder="1" applyAlignment="1">
      <alignment horizontal="justify" vertical="top"/>
    </xf>
    <xf numFmtId="0" fontId="0" fillId="44" borderId="27" xfId="0" applyFont="1" applyFill="1" applyBorder="1" applyAlignment="1">
      <alignment horizontal="justify" vertical="top"/>
    </xf>
    <xf numFmtId="0" fontId="0" fillId="44" borderId="23" xfId="0" applyFont="1" applyFill="1" applyBorder="1" applyAlignment="1">
      <alignment horizontal="justify" vertical="top"/>
    </xf>
    <xf numFmtId="0" fontId="2" fillId="44" borderId="23" xfId="0" applyFont="1" applyFill="1" applyBorder="1" applyAlignment="1">
      <alignment horizontal="justify" vertical="top" wrapText="1"/>
    </xf>
    <xf numFmtId="0" fontId="0" fillId="44" borderId="27" xfId="0" applyFont="1" applyFill="1" applyBorder="1" applyAlignment="1">
      <alignment vertical="top" wrapText="1"/>
    </xf>
    <xf numFmtId="0" fontId="34" fillId="44" borderId="0" xfId="0" applyFont="1" applyFill="1" applyAlignment="1">
      <alignment horizontal="center" wrapText="1"/>
    </xf>
    <xf numFmtId="0" fontId="34" fillId="44" borderId="0" xfId="0" applyFont="1" applyFill="1" applyAlignment="1">
      <alignment horizontal="center"/>
    </xf>
    <xf numFmtId="0" fontId="2" fillId="44" borderId="19" xfId="0" applyFont="1" applyFill="1" applyBorder="1" applyAlignment="1">
      <alignment horizontal="center" wrapText="1"/>
    </xf>
    <xf numFmtId="0" fontId="6" fillId="44" borderId="0" xfId="0" applyFont="1" applyFill="1" applyAlignment="1">
      <alignment wrapText="1"/>
    </xf>
    <xf numFmtId="0" fontId="6" fillId="44" borderId="0" xfId="0" applyFont="1" applyFill="1" applyAlignment="1">
      <alignment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_МСП_Приложение 4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dministration\&#1057;&#1090;&#1088;&#1086;&#1080;&#1090;&#1077;&#1083;&#1100;&#1085;&#1099;&#1081;%20&#1086;&#1090;&#1076;&#1077;&#1083;\&#1052;&#1055;%20&#1056;&#1072;&#1079;&#1074;&#1080;&#1090;&#1080;&#1077;%20&#1078;&#1080;&#1083;&#1080;&#1097;&#1085;&#1086;&#1075;&#1086;%20&#1089;&#1090;&#1088;&#1086;&#1080;&#1090;&#1077;&#1083;&#1100;&#1089;&#1090;&#1074;&#1072;%20&#1057;&#1077;&#1074;&#1077;&#1088;&#1086;&#1076;&#1074;&#1080;&#1085;&#1089;&#1082;&#1072;\_2016-2021\&#1074;%20&#1088;&#1077;&#1076;.%20274-&#1087;&#1072;%20&#1086;&#1090;%2028.08.2017\&#1055;&#1088;&#1080;&#1083;&#1086;&#1078;&#1077;&#1085;&#1080;&#1077;%204%20&#1086;&#1090;%2028.08.2017%20274-&#1087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_4"/>
      <sheetName val="расчет_показ"/>
      <sheetName val="Лист1"/>
      <sheetName val="Лист2"/>
    </sheetNames>
    <sheetDataSet>
      <sheetData sheetId="0">
        <row r="50">
          <cell r="K50">
            <v>20593.3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A376"/>
  <sheetViews>
    <sheetView tabSelected="1" view="pageBreakPreview" zoomScale="90" zoomScaleNormal="90" zoomScaleSheetLayoutView="90" workbookViewId="0" topLeftCell="A1">
      <selection activeCell="A18" sqref="A18"/>
    </sheetView>
  </sheetViews>
  <sheetFormatPr defaultColWidth="9.00390625" defaultRowHeight="12.75"/>
  <cols>
    <col min="1" max="7" width="3.125" style="2" customWidth="1"/>
    <col min="8" max="8" width="73.375" style="2" customWidth="1"/>
    <col min="9" max="9" width="10.375" style="2" customWidth="1"/>
    <col min="10" max="11" width="10.75390625" style="2" bestFit="1" customWidth="1"/>
    <col min="12" max="12" width="9.25390625" style="2" bestFit="1" customWidth="1"/>
    <col min="13" max="13" width="10.75390625" style="2" bestFit="1" customWidth="1"/>
    <col min="14" max="14" width="11.125" style="2" customWidth="1"/>
    <col min="15" max="18" width="11.00390625" style="2" customWidth="1"/>
    <col min="19" max="19" width="13.75390625" style="2" customWidth="1"/>
    <col min="20" max="20" width="8.125" style="2" bestFit="1" customWidth="1"/>
    <col min="21" max="21" width="17.00390625" style="3" customWidth="1"/>
    <col min="22" max="22" width="15.75390625" style="2" customWidth="1"/>
    <col min="23" max="23" width="8.75390625" style="2" bestFit="1" customWidth="1"/>
    <col min="24" max="24" width="9.625" style="2" bestFit="1" customWidth="1"/>
    <col min="25" max="25" width="20.25390625" style="2" customWidth="1"/>
    <col min="26" max="27" width="14.75390625" style="2" customWidth="1"/>
    <col min="28" max="16384" width="9.125" style="2" customWidth="1"/>
  </cols>
  <sheetData>
    <row r="1" spans="1:20" ht="18.75">
      <c r="A1" s="1"/>
      <c r="B1" s="1"/>
      <c r="C1" s="1"/>
      <c r="D1" s="1"/>
      <c r="E1" s="1"/>
      <c r="F1" s="1"/>
      <c r="G1" s="1"/>
      <c r="H1" s="1"/>
      <c r="I1" s="1"/>
      <c r="J1" s="1"/>
      <c r="N1" s="1" t="s">
        <v>338</v>
      </c>
      <c r="O1" s="1"/>
      <c r="P1" s="1"/>
      <c r="Q1" s="1"/>
      <c r="R1" s="1"/>
      <c r="S1" s="1"/>
      <c r="T1" s="1"/>
    </row>
    <row r="2" spans="1:20" ht="18.75">
      <c r="A2" s="1"/>
      <c r="B2" s="1"/>
      <c r="C2" s="1"/>
      <c r="D2" s="1"/>
      <c r="E2" s="1"/>
      <c r="F2" s="1"/>
      <c r="G2" s="1"/>
      <c r="H2" s="1"/>
      <c r="I2" s="1"/>
      <c r="J2" s="1"/>
      <c r="N2" s="1" t="s">
        <v>339</v>
      </c>
      <c r="O2" s="1"/>
      <c r="P2" s="1"/>
      <c r="Q2" s="1"/>
      <c r="R2" s="1"/>
      <c r="S2" s="1"/>
      <c r="T2" s="1"/>
    </row>
    <row r="3" spans="1:20" ht="18.75">
      <c r="A3" s="1"/>
      <c r="B3" s="1"/>
      <c r="C3" s="1"/>
      <c r="D3" s="1"/>
      <c r="E3" s="1"/>
      <c r="F3" s="1"/>
      <c r="G3" s="1"/>
      <c r="H3" s="1"/>
      <c r="I3" s="1"/>
      <c r="J3" s="1"/>
      <c r="N3" s="84" t="s">
        <v>137</v>
      </c>
      <c r="O3" s="1"/>
      <c r="P3" s="1"/>
      <c r="Q3" s="1"/>
      <c r="R3" s="1"/>
      <c r="S3" s="1"/>
      <c r="T3" s="1"/>
    </row>
    <row r="4" spans="1:20" ht="18.75">
      <c r="A4" s="1"/>
      <c r="B4" s="1"/>
      <c r="C4" s="1"/>
      <c r="D4" s="1"/>
      <c r="E4" s="1"/>
      <c r="F4" s="1"/>
      <c r="G4" s="1"/>
      <c r="H4" s="1"/>
      <c r="I4" s="1"/>
      <c r="J4" s="1"/>
      <c r="N4" s="84" t="s">
        <v>48</v>
      </c>
      <c r="O4" s="1"/>
      <c r="P4" s="1"/>
      <c r="Q4" s="1"/>
      <c r="R4" s="1"/>
      <c r="S4" s="1"/>
      <c r="T4" s="1"/>
    </row>
    <row r="5" spans="1:20" ht="18.75">
      <c r="A5" s="1"/>
      <c r="B5" s="1"/>
      <c r="C5" s="1"/>
      <c r="D5" s="1"/>
      <c r="E5" s="1"/>
      <c r="F5" s="1"/>
      <c r="G5" s="1"/>
      <c r="H5" s="1"/>
      <c r="I5" s="1"/>
      <c r="J5" s="1"/>
      <c r="N5" s="84" t="s">
        <v>303</v>
      </c>
      <c r="O5" s="1"/>
      <c r="P5" s="1"/>
      <c r="Q5" s="1"/>
      <c r="R5" s="1"/>
      <c r="S5" s="1"/>
      <c r="T5" s="1"/>
    </row>
    <row r="6" spans="1:20" ht="17.25" customHeight="1">
      <c r="A6" s="1"/>
      <c r="B6" s="1"/>
      <c r="C6" s="1"/>
      <c r="D6" s="1"/>
      <c r="E6" s="1"/>
      <c r="F6" s="1"/>
      <c r="G6" s="1"/>
      <c r="H6" s="1"/>
      <c r="I6" s="1"/>
      <c r="J6" s="1"/>
      <c r="N6" s="1" t="s">
        <v>304</v>
      </c>
      <c r="O6" s="1"/>
      <c r="P6" s="4"/>
      <c r="Q6" s="1"/>
      <c r="R6" s="1"/>
      <c r="S6" s="1"/>
      <c r="T6" s="1"/>
    </row>
    <row r="7" spans="1:20" ht="17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4"/>
      <c r="N7" s="1"/>
      <c r="O7" s="1"/>
      <c r="P7" s="1"/>
      <c r="Q7" s="1"/>
      <c r="R7" s="1"/>
      <c r="S7" s="1"/>
      <c r="T7" s="1"/>
    </row>
    <row r="8" spans="1:20" ht="18.75">
      <c r="A8" s="148" t="s">
        <v>101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</row>
    <row r="9" spans="1:20" ht="18.75">
      <c r="A9" s="148" t="s">
        <v>138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</row>
    <row r="10" spans="1:20" ht="18.75">
      <c r="A10" s="1"/>
      <c r="B10" s="1"/>
      <c r="C10" s="1"/>
      <c r="D10" s="1"/>
      <c r="E10" s="1"/>
      <c r="F10" s="147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</row>
    <row r="11" spans="1:20" ht="18.75">
      <c r="A11" s="147" t="s">
        <v>52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</row>
    <row r="12" spans="1:20" ht="15.75" customHeight="1">
      <c r="A12" s="1"/>
      <c r="B12" s="1"/>
      <c r="C12" s="1"/>
      <c r="D12" s="1"/>
      <c r="E12" s="1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</row>
    <row r="13" spans="1:20" ht="21" customHeight="1">
      <c r="A13" s="145" t="s">
        <v>452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</row>
    <row r="14" spans="1:20" ht="12.75" customHeight="1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</row>
    <row r="15" spans="1:20" ht="12.75" customHeight="1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</row>
    <row r="16" spans="1:20" ht="12.75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</row>
    <row r="17" spans="1:20" ht="12.75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</row>
    <row r="18" ht="7.5" customHeight="1">
      <c r="M18" s="85"/>
    </row>
    <row r="19" spans="1:20" ht="30.75" customHeight="1">
      <c r="A19" s="137" t="s">
        <v>336</v>
      </c>
      <c r="B19" s="138"/>
      <c r="C19" s="138"/>
      <c r="D19" s="138"/>
      <c r="E19" s="138"/>
      <c r="F19" s="138"/>
      <c r="G19" s="135" t="s">
        <v>334</v>
      </c>
      <c r="H19" s="137" t="s">
        <v>258</v>
      </c>
      <c r="I19" s="139" t="s">
        <v>259</v>
      </c>
      <c r="J19" s="140" t="s">
        <v>88</v>
      </c>
      <c r="K19" s="141"/>
      <c r="L19" s="142"/>
      <c r="M19" s="142"/>
      <c r="N19" s="142"/>
      <c r="O19" s="142"/>
      <c r="P19" s="143"/>
      <c r="Q19" s="143"/>
      <c r="R19" s="144"/>
      <c r="S19" s="137" t="s">
        <v>262</v>
      </c>
      <c r="T19" s="137"/>
    </row>
    <row r="20" spans="1:20" ht="54.75" customHeight="1">
      <c r="A20" s="5" t="s">
        <v>254</v>
      </c>
      <c r="B20" s="5" t="s">
        <v>256</v>
      </c>
      <c r="C20" s="5" t="s">
        <v>255</v>
      </c>
      <c r="D20" s="92" t="s">
        <v>257</v>
      </c>
      <c r="E20" s="139" t="s">
        <v>335</v>
      </c>
      <c r="F20" s="139"/>
      <c r="G20" s="136"/>
      <c r="H20" s="137"/>
      <c r="I20" s="139"/>
      <c r="J20" s="6">
        <v>2016</v>
      </c>
      <c r="K20" s="7">
        <v>2017</v>
      </c>
      <c r="L20" s="7">
        <v>2018</v>
      </c>
      <c r="M20" s="7">
        <v>2019</v>
      </c>
      <c r="N20" s="7">
        <v>2020</v>
      </c>
      <c r="O20" s="7">
        <v>2021</v>
      </c>
      <c r="P20" s="7">
        <v>2022</v>
      </c>
      <c r="Q20" s="7">
        <v>2023</v>
      </c>
      <c r="R20" s="7">
        <v>2024</v>
      </c>
      <c r="S20" s="8" t="s">
        <v>260</v>
      </c>
      <c r="T20" s="92" t="s">
        <v>261</v>
      </c>
    </row>
    <row r="21" spans="1:20" ht="15">
      <c r="A21" s="9">
        <v>1</v>
      </c>
      <c r="B21" s="9">
        <v>2</v>
      </c>
      <c r="C21" s="9">
        <v>3</v>
      </c>
      <c r="D21" s="9">
        <v>4</v>
      </c>
      <c r="E21" s="9">
        <v>5</v>
      </c>
      <c r="F21" s="9">
        <v>6</v>
      </c>
      <c r="G21" s="9">
        <v>7</v>
      </c>
      <c r="H21" s="9">
        <v>8</v>
      </c>
      <c r="I21" s="9">
        <v>9</v>
      </c>
      <c r="J21" s="9" t="s">
        <v>89</v>
      </c>
      <c r="K21" s="9">
        <v>11</v>
      </c>
      <c r="L21" s="9">
        <v>12</v>
      </c>
      <c r="M21" s="9">
        <v>13</v>
      </c>
      <c r="N21" s="9">
        <v>14</v>
      </c>
      <c r="O21" s="9">
        <v>15</v>
      </c>
      <c r="P21" s="9"/>
      <c r="Q21" s="9"/>
      <c r="R21" s="9"/>
      <c r="S21" s="9">
        <v>16</v>
      </c>
      <c r="T21" s="9">
        <v>17</v>
      </c>
    </row>
    <row r="22" spans="1:27" ht="28.5">
      <c r="A22" s="10" t="s">
        <v>337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/>
      <c r="H22" s="11" t="s">
        <v>139</v>
      </c>
      <c r="I22" s="12" t="s">
        <v>264</v>
      </c>
      <c r="J22" s="13">
        <f aca="true" t="shared" si="0" ref="J22:R22">SUM(J23:J26)</f>
        <v>1756606.6</v>
      </c>
      <c r="K22" s="13">
        <f t="shared" si="0"/>
        <v>1181144</v>
      </c>
      <c r="L22" s="13">
        <f t="shared" si="0"/>
        <v>466602.2</v>
      </c>
      <c r="M22" s="13">
        <f t="shared" si="0"/>
        <v>1534122.7999999998</v>
      </c>
      <c r="N22" s="13">
        <f t="shared" si="0"/>
        <v>1610278.775</v>
      </c>
      <c r="O22" s="13">
        <f t="shared" si="0"/>
        <v>1551489.425</v>
      </c>
      <c r="P22" s="13">
        <f t="shared" si="0"/>
        <v>1985237</v>
      </c>
      <c r="Q22" s="13">
        <f t="shared" si="0"/>
        <v>1682219.565</v>
      </c>
      <c r="R22" s="13">
        <f t="shared" si="0"/>
        <v>495393.44999999995</v>
      </c>
      <c r="S22" s="13">
        <f>SUM(J22:R22)</f>
        <v>12263093.815</v>
      </c>
      <c r="T22" s="14">
        <v>2024</v>
      </c>
      <c r="U22" s="15"/>
      <c r="V22" s="16"/>
      <c r="AA22" s="16"/>
    </row>
    <row r="23" spans="1:20" ht="15">
      <c r="A23" s="17" t="s">
        <v>337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1</v>
      </c>
      <c r="H23" s="18" t="s">
        <v>222</v>
      </c>
      <c r="I23" s="91" t="s">
        <v>264</v>
      </c>
      <c r="J23" s="19">
        <f aca="true" t="shared" si="1" ref="J23:R23">J281+J305+J75</f>
        <v>82875.59999999999</v>
      </c>
      <c r="K23" s="19">
        <f t="shared" si="1"/>
        <v>43369.6</v>
      </c>
      <c r="L23" s="19">
        <f t="shared" si="1"/>
        <v>119444.1</v>
      </c>
      <c r="M23" s="19">
        <f t="shared" si="1"/>
        <v>308812.69999999995</v>
      </c>
      <c r="N23" s="19">
        <f t="shared" si="1"/>
        <v>862040.7</v>
      </c>
      <c r="O23" s="19">
        <f t="shared" si="1"/>
        <v>922552.1</v>
      </c>
      <c r="P23" s="19">
        <f t="shared" si="1"/>
        <v>40194</v>
      </c>
      <c r="Q23" s="19">
        <f t="shared" si="1"/>
        <v>40194</v>
      </c>
      <c r="R23" s="19">
        <f t="shared" si="1"/>
        <v>40194</v>
      </c>
      <c r="S23" s="19">
        <f>SUM(J23:R23)</f>
        <v>2459676.8</v>
      </c>
      <c r="T23" s="20">
        <v>2024</v>
      </c>
    </row>
    <row r="24" spans="1:20" ht="15">
      <c r="A24" s="17" t="s">
        <v>337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2</v>
      </c>
      <c r="H24" s="18" t="s">
        <v>233</v>
      </c>
      <c r="I24" s="91" t="s">
        <v>264</v>
      </c>
      <c r="J24" s="19">
        <f aca="true" t="shared" si="2" ref="J24:R24">J37+J76+J282+J306</f>
        <v>420043.20000000007</v>
      </c>
      <c r="K24" s="19">
        <f t="shared" si="2"/>
        <v>90944.5</v>
      </c>
      <c r="L24" s="19">
        <f t="shared" si="2"/>
        <v>47476.100000000006</v>
      </c>
      <c r="M24" s="19">
        <f t="shared" si="2"/>
        <v>500031.39999999997</v>
      </c>
      <c r="N24" s="19">
        <f t="shared" si="2"/>
        <v>294446.5575</v>
      </c>
      <c r="O24" s="19">
        <f t="shared" si="2"/>
        <v>138766.2625</v>
      </c>
      <c r="P24" s="19">
        <f t="shared" si="2"/>
        <v>1132163.29</v>
      </c>
      <c r="Q24" s="19">
        <f t="shared" si="2"/>
        <v>1251117.0075</v>
      </c>
      <c r="R24" s="19">
        <f t="shared" si="2"/>
        <v>45221.735</v>
      </c>
      <c r="S24" s="19">
        <f>SUM(J24:R24)</f>
        <v>3920210.0524999998</v>
      </c>
      <c r="T24" s="20">
        <v>2024</v>
      </c>
    </row>
    <row r="25" spans="1:20" ht="15">
      <c r="A25" s="17" t="s">
        <v>337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3</v>
      </c>
      <c r="H25" s="18" t="s">
        <v>234</v>
      </c>
      <c r="I25" s="91" t="s">
        <v>264</v>
      </c>
      <c r="J25" s="19">
        <f aca="true" t="shared" si="3" ref="J25:R25">J38+J77+J241+J283+J307+J338</f>
        <v>442269.6</v>
      </c>
      <c r="K25" s="19">
        <f t="shared" si="3"/>
        <v>439748.8</v>
      </c>
      <c r="L25" s="19">
        <f t="shared" si="3"/>
        <v>289146.1</v>
      </c>
      <c r="M25" s="19">
        <f t="shared" si="3"/>
        <v>302280.6</v>
      </c>
      <c r="N25" s="19">
        <f t="shared" si="3"/>
        <v>371353.7</v>
      </c>
      <c r="O25" s="19">
        <f t="shared" si="3"/>
        <v>369549.80000000005</v>
      </c>
      <c r="P25" s="19">
        <f t="shared" si="3"/>
        <v>499517.8</v>
      </c>
      <c r="Q25" s="19">
        <f t="shared" si="3"/>
        <v>124557.9</v>
      </c>
      <c r="R25" s="19">
        <f t="shared" si="3"/>
        <v>216689.8</v>
      </c>
      <c r="S25" s="19">
        <f>SUM(J25:R25)</f>
        <v>3055114.0999999996</v>
      </c>
      <c r="T25" s="20">
        <v>2024</v>
      </c>
    </row>
    <row r="26" spans="1:20" ht="15">
      <c r="A26" s="17" t="s">
        <v>337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5</v>
      </c>
      <c r="H26" s="18" t="s">
        <v>340</v>
      </c>
      <c r="I26" s="91" t="s">
        <v>264</v>
      </c>
      <c r="J26" s="19">
        <f aca="true" t="shared" si="4" ref="J26:R26">J39+J339</f>
        <v>811418.2</v>
      </c>
      <c r="K26" s="19">
        <f t="shared" si="4"/>
        <v>607081.1</v>
      </c>
      <c r="L26" s="19">
        <f t="shared" si="4"/>
        <v>10535.9</v>
      </c>
      <c r="M26" s="19">
        <f t="shared" si="4"/>
        <v>422998.10000000003</v>
      </c>
      <c r="N26" s="19">
        <f t="shared" si="4"/>
        <v>82437.8175</v>
      </c>
      <c r="O26" s="19">
        <f t="shared" si="4"/>
        <v>120621.2625</v>
      </c>
      <c r="P26" s="19">
        <f t="shared" si="4"/>
        <v>313361.91000000003</v>
      </c>
      <c r="Q26" s="19">
        <f t="shared" si="4"/>
        <v>266350.65750000003</v>
      </c>
      <c r="R26" s="19">
        <f t="shared" si="4"/>
        <v>193287.915</v>
      </c>
      <c r="S26" s="19">
        <f>SUM(J26:R26)</f>
        <v>2828092.8625</v>
      </c>
      <c r="T26" s="20">
        <v>2024</v>
      </c>
    </row>
    <row r="27" spans="1:21" ht="45">
      <c r="A27" s="17" t="s">
        <v>337</v>
      </c>
      <c r="B27" s="17">
        <v>1</v>
      </c>
      <c r="C27" s="17">
        <v>0</v>
      </c>
      <c r="D27" s="17">
        <v>0</v>
      </c>
      <c r="E27" s="17">
        <v>0</v>
      </c>
      <c r="F27" s="17">
        <v>0</v>
      </c>
      <c r="G27" s="17"/>
      <c r="H27" s="18" t="s">
        <v>148</v>
      </c>
      <c r="I27" s="91" t="s">
        <v>264</v>
      </c>
      <c r="J27" s="19">
        <f aca="true" t="shared" si="5" ref="J27:S27">J36+J74+J240+J280+J304+J337</f>
        <v>1756606.6</v>
      </c>
      <c r="K27" s="19">
        <f t="shared" si="5"/>
        <v>1181144</v>
      </c>
      <c r="L27" s="19">
        <f t="shared" si="5"/>
        <v>466602.1999999999</v>
      </c>
      <c r="M27" s="19">
        <f t="shared" si="5"/>
        <v>1534122.7999999998</v>
      </c>
      <c r="N27" s="19">
        <f t="shared" si="5"/>
        <v>1610278.775</v>
      </c>
      <c r="O27" s="19">
        <f t="shared" si="5"/>
        <v>1551489.425</v>
      </c>
      <c r="P27" s="19">
        <f t="shared" si="5"/>
        <v>1985237.0000000002</v>
      </c>
      <c r="Q27" s="19">
        <f t="shared" si="5"/>
        <v>1682219.565</v>
      </c>
      <c r="R27" s="19">
        <f t="shared" si="5"/>
        <v>495393.45</v>
      </c>
      <c r="S27" s="19">
        <f t="shared" si="5"/>
        <v>12263093.815000001</v>
      </c>
      <c r="T27" s="20">
        <v>2024</v>
      </c>
      <c r="U27" s="15"/>
    </row>
    <row r="28" spans="1:20" ht="15">
      <c r="A28" s="17" t="s">
        <v>337</v>
      </c>
      <c r="B28" s="17">
        <v>1</v>
      </c>
      <c r="C28" s="17">
        <v>0</v>
      </c>
      <c r="D28" s="17">
        <v>0</v>
      </c>
      <c r="E28" s="17">
        <v>0</v>
      </c>
      <c r="F28" s="17">
        <v>0</v>
      </c>
      <c r="G28" s="17"/>
      <c r="H28" s="18" t="s">
        <v>271</v>
      </c>
      <c r="I28" s="91" t="s">
        <v>263</v>
      </c>
      <c r="J28" s="21">
        <f>расчет_показ!E15</f>
        <v>37033</v>
      </c>
      <c r="K28" s="21">
        <f>расчет_показ!F15</f>
        <v>44827.9</v>
      </c>
      <c r="L28" s="21">
        <f>расчет_показ!G15</f>
        <v>58613</v>
      </c>
      <c r="M28" s="21">
        <f>расчет_показ!H15</f>
        <v>68626.5</v>
      </c>
      <c r="N28" s="21">
        <f>расчет_показ!I15</f>
        <v>87458</v>
      </c>
      <c r="O28" s="21">
        <f>расчет_показ!J15</f>
        <v>57706</v>
      </c>
      <c r="P28" s="21">
        <f>расчет_показ!K15</f>
        <v>52577.9</v>
      </c>
      <c r="Q28" s="21">
        <f>расчет_показ!L15</f>
        <v>56638</v>
      </c>
      <c r="R28" s="21">
        <f>расчет_показ!M15</f>
        <v>60698</v>
      </c>
      <c r="S28" s="19">
        <f>R28</f>
        <v>60698</v>
      </c>
      <c r="T28" s="20">
        <v>2024</v>
      </c>
    </row>
    <row r="29" spans="1:20" ht="30">
      <c r="A29" s="17" t="s">
        <v>337</v>
      </c>
      <c r="B29" s="17">
        <v>1</v>
      </c>
      <c r="C29" s="17">
        <v>0</v>
      </c>
      <c r="D29" s="17">
        <v>0</v>
      </c>
      <c r="E29" s="17">
        <v>0</v>
      </c>
      <c r="F29" s="17">
        <v>0</v>
      </c>
      <c r="G29" s="17"/>
      <c r="H29" s="18" t="s">
        <v>107</v>
      </c>
      <c r="I29" s="91" t="s">
        <v>269</v>
      </c>
      <c r="J29" s="22">
        <f>расчет_показ!E16</f>
        <v>26.494136505935156</v>
      </c>
      <c r="K29" s="22">
        <f>расчет_показ!F16</f>
        <v>22.866442120095385</v>
      </c>
      <c r="L29" s="23">
        <f>расчет_показ!G16</f>
        <v>23.423179754818015</v>
      </c>
      <c r="M29" s="22">
        <f>расчет_показ!H16</f>
        <v>23.784693692710608</v>
      </c>
      <c r="N29" s="22">
        <f>расчет_показ!I16</f>
        <v>24.429555628576907</v>
      </c>
      <c r="O29" s="22">
        <f>расчет_показ!J16</f>
        <v>24.81090943582976</v>
      </c>
      <c r="P29" s="23">
        <f>расчет_показ!K16</f>
        <v>25.16843535874997</v>
      </c>
      <c r="Q29" s="22">
        <f>расчет_показ!L16</f>
        <v>25.548591662509015</v>
      </c>
      <c r="R29" s="22">
        <f>расчет_показ!M16</f>
        <v>25.956580740328423</v>
      </c>
      <c r="S29" s="24">
        <f aca="true" t="shared" si="6" ref="S29:S35">R29</f>
        <v>25.956580740328423</v>
      </c>
      <c r="T29" s="20">
        <v>2024</v>
      </c>
    </row>
    <row r="30" spans="1:20" ht="30">
      <c r="A30" s="17" t="s">
        <v>337</v>
      </c>
      <c r="B30" s="17">
        <v>1</v>
      </c>
      <c r="C30" s="17">
        <v>0</v>
      </c>
      <c r="D30" s="17">
        <v>0</v>
      </c>
      <c r="E30" s="17">
        <v>0</v>
      </c>
      <c r="F30" s="17">
        <v>0</v>
      </c>
      <c r="G30" s="17"/>
      <c r="H30" s="18" t="s">
        <v>427</v>
      </c>
      <c r="I30" s="91" t="s">
        <v>270</v>
      </c>
      <c r="J30" s="22">
        <f>расчет_показ!E19</f>
        <v>1.2334360303535863</v>
      </c>
      <c r="K30" s="22">
        <f>расчет_показ!F19</f>
        <v>2.44260449898999</v>
      </c>
      <c r="L30" s="23">
        <f>расчет_показ!G19</f>
        <v>2.355555087239016</v>
      </c>
      <c r="M30" s="22">
        <f>расчет_показ!H19</f>
        <v>2.0716013213127384</v>
      </c>
      <c r="N30" s="22">
        <f>расчет_показ!I19</f>
        <v>2.2183510139791025</v>
      </c>
      <c r="O30" s="22">
        <f>расчет_показ!J19</f>
        <v>2.2086661461609682</v>
      </c>
      <c r="P30" s="23">
        <f>расчет_показ!K19</f>
        <v>2.201673494540167</v>
      </c>
      <c r="Q30" s="22">
        <f>расчет_показ!L19</f>
        <v>2.1928878174587845</v>
      </c>
      <c r="R30" s="22">
        <f>расчет_показ!M19</f>
        <v>2.1823901673233124</v>
      </c>
      <c r="S30" s="24">
        <f t="shared" si="6"/>
        <v>2.1823901673233124</v>
      </c>
      <c r="T30" s="20">
        <v>2024</v>
      </c>
    </row>
    <row r="31" spans="1:20" ht="45">
      <c r="A31" s="17" t="s">
        <v>337</v>
      </c>
      <c r="B31" s="17">
        <v>1</v>
      </c>
      <c r="C31" s="17">
        <v>0</v>
      </c>
      <c r="D31" s="17">
        <v>0</v>
      </c>
      <c r="E31" s="17">
        <v>0</v>
      </c>
      <c r="F31" s="17">
        <v>0</v>
      </c>
      <c r="G31" s="17"/>
      <c r="H31" s="18" t="s">
        <v>109</v>
      </c>
      <c r="I31" s="91" t="s">
        <v>270</v>
      </c>
      <c r="J31" s="25">
        <f>расчет_показ!E22</f>
        <v>5.074821080026025</v>
      </c>
      <c r="K31" s="25">
        <f>расчет_показ!F22</f>
        <v>20.33898305084746</v>
      </c>
      <c r="L31" s="21">
        <f>расчет_показ!G22</f>
        <v>2.944049113994698</v>
      </c>
      <c r="M31" s="25">
        <f>расчет_показ!H22</f>
        <v>3.088586269830128</v>
      </c>
      <c r="N31" s="25">
        <f>расчет_показ!I22</f>
        <v>4.556457354406949</v>
      </c>
      <c r="O31" s="25">
        <f>расчет_показ!J22</f>
        <v>5.777841976021956</v>
      </c>
      <c r="P31" s="25">
        <f>расчет_показ!K22</f>
        <v>5.862523816503005</v>
      </c>
      <c r="Q31" s="25">
        <f>расчет_показ!L22</f>
        <v>5.949724825226833</v>
      </c>
      <c r="R31" s="25">
        <f>расчет_показ!M22</f>
        <v>6.0395591121848105</v>
      </c>
      <c r="S31" s="19">
        <f t="shared" si="6"/>
        <v>6.0395591121848105</v>
      </c>
      <c r="T31" s="20">
        <v>2024</v>
      </c>
    </row>
    <row r="32" spans="1:20" ht="45">
      <c r="A32" s="17" t="s">
        <v>337</v>
      </c>
      <c r="B32" s="17">
        <v>1</v>
      </c>
      <c r="C32" s="17">
        <v>0</v>
      </c>
      <c r="D32" s="17">
        <v>0</v>
      </c>
      <c r="E32" s="17">
        <v>0</v>
      </c>
      <c r="F32" s="17">
        <v>0</v>
      </c>
      <c r="G32" s="17"/>
      <c r="H32" s="18" t="s">
        <v>428</v>
      </c>
      <c r="I32" s="91" t="s">
        <v>266</v>
      </c>
      <c r="J32" s="22">
        <f>расчет_показ!E35</f>
        <v>16.30170316301703</v>
      </c>
      <c r="K32" s="22">
        <f>расчет_показ!F35</f>
        <v>20.82018927444795</v>
      </c>
      <c r="L32" s="23">
        <f>расчет_показ!G35</f>
        <v>14.745762711864408</v>
      </c>
      <c r="M32" s="22">
        <f>расчет_показ!H35</f>
        <v>14.333333333333334</v>
      </c>
      <c r="N32" s="22">
        <f>расчет_показ!I35</f>
        <v>10.833333333333334</v>
      </c>
      <c r="O32" s="22">
        <f>расчет_показ!J35</f>
        <v>10.833333333333334</v>
      </c>
      <c r="P32" s="22">
        <f>расчет_показ!K35</f>
        <v>10.833333333333334</v>
      </c>
      <c r="Q32" s="22">
        <f>расчет_показ!L35</f>
        <v>10.833333333333334</v>
      </c>
      <c r="R32" s="22">
        <f>расчет_показ!M35</f>
        <v>10.833333333333334</v>
      </c>
      <c r="S32" s="24">
        <f t="shared" si="6"/>
        <v>10.833333333333334</v>
      </c>
      <c r="T32" s="20">
        <v>2024</v>
      </c>
    </row>
    <row r="33" spans="1:20" ht="15">
      <c r="A33" s="17" t="s">
        <v>337</v>
      </c>
      <c r="B33" s="17">
        <v>1</v>
      </c>
      <c r="C33" s="17">
        <v>0</v>
      </c>
      <c r="D33" s="17">
        <v>0</v>
      </c>
      <c r="E33" s="17">
        <v>0</v>
      </c>
      <c r="F33" s="17">
        <v>0</v>
      </c>
      <c r="G33" s="17"/>
      <c r="H33" s="18" t="s">
        <v>344</v>
      </c>
      <c r="I33" s="91" t="s">
        <v>81</v>
      </c>
      <c r="J33" s="26">
        <f>расчет_показ!E38</f>
        <v>41.19867196206084</v>
      </c>
      <c r="K33" s="26">
        <f>расчет_показ!F38</f>
        <v>35.35275452664036</v>
      </c>
      <c r="L33" s="19">
        <f>расчет_показ!G38</f>
        <v>36.10065270760543</v>
      </c>
      <c r="M33" s="26">
        <f>расчет_показ!H38</f>
        <v>36.52530528115024</v>
      </c>
      <c r="N33" s="26">
        <f>расчет_показ!I38</f>
        <v>37.37538404175988</v>
      </c>
      <c r="O33" s="26">
        <f>расчет_показ!J38</f>
        <v>37.80603096800141</v>
      </c>
      <c r="P33" s="26">
        <f>расчет_показ!K38</f>
        <v>38.193710630168674</v>
      </c>
      <c r="Q33" s="26">
        <f>расчет_показ!L38</f>
        <v>38.6154090105489</v>
      </c>
      <c r="R33" s="26">
        <f>расчет_показ!M38</f>
        <v>39.071125271263284</v>
      </c>
      <c r="S33" s="19">
        <f t="shared" si="6"/>
        <v>39.071125271263284</v>
      </c>
      <c r="T33" s="20">
        <v>2024</v>
      </c>
    </row>
    <row r="34" spans="1:20" ht="30">
      <c r="A34" s="17" t="s">
        <v>337</v>
      </c>
      <c r="B34" s="17">
        <v>1</v>
      </c>
      <c r="C34" s="17">
        <v>0</v>
      </c>
      <c r="D34" s="17">
        <v>0</v>
      </c>
      <c r="E34" s="17">
        <v>0</v>
      </c>
      <c r="F34" s="17">
        <v>0</v>
      </c>
      <c r="G34" s="17"/>
      <c r="H34" s="18" t="s">
        <v>346</v>
      </c>
      <c r="I34" s="91" t="s">
        <v>265</v>
      </c>
      <c r="J34" s="23">
        <f>расчет_показ!E41</f>
        <v>4.364482808787159</v>
      </c>
      <c r="K34" s="23">
        <f>расчет_показ!F41</f>
        <v>4.389768046824193</v>
      </c>
      <c r="L34" s="23">
        <f>расчет_показ!G41</f>
        <v>4.403490173693224</v>
      </c>
      <c r="M34" s="23">
        <f>расчет_показ!H41</f>
        <v>4.419467481449149</v>
      </c>
      <c r="N34" s="23">
        <f>расчет_показ!I41</f>
        <v>4.436046989238478</v>
      </c>
      <c r="O34" s="23">
        <f>расчет_показ!J41</f>
        <v>4.56395029143297</v>
      </c>
      <c r="P34" s="23">
        <f>расчет_показ!K41</f>
        <v>4.58272368384728</v>
      </c>
      <c r="Q34" s="23">
        <f>расчет_показ!L41</f>
        <v>4.60114197017573</v>
      </c>
      <c r="R34" s="23">
        <f>расчет_показ!M41</f>
        <v>4.675758419148345</v>
      </c>
      <c r="S34" s="24">
        <f t="shared" si="6"/>
        <v>4.675758419148345</v>
      </c>
      <c r="T34" s="20">
        <v>2024</v>
      </c>
    </row>
    <row r="35" spans="1:20" ht="30">
      <c r="A35" s="17" t="s">
        <v>337</v>
      </c>
      <c r="B35" s="17">
        <v>1</v>
      </c>
      <c r="C35" s="17">
        <v>0</v>
      </c>
      <c r="D35" s="17">
        <v>0</v>
      </c>
      <c r="E35" s="17">
        <v>0</v>
      </c>
      <c r="F35" s="17">
        <v>0</v>
      </c>
      <c r="G35" s="17"/>
      <c r="H35" s="18" t="s">
        <v>312</v>
      </c>
      <c r="I35" s="91" t="s">
        <v>265</v>
      </c>
      <c r="J35" s="27">
        <f>расчет_показ!E47</f>
        <v>2</v>
      </c>
      <c r="K35" s="27">
        <f>расчет_показ!F47</f>
        <v>5</v>
      </c>
      <c r="L35" s="28">
        <f>расчет_показ!G47</f>
        <v>5</v>
      </c>
      <c r="M35" s="27">
        <f>расчет_показ!H47</f>
        <v>5</v>
      </c>
      <c r="N35" s="27">
        <f>расчет_показ!I47</f>
        <v>6</v>
      </c>
      <c r="O35" s="27">
        <f>расчет_показ!J47</f>
        <v>9</v>
      </c>
      <c r="P35" s="27">
        <f>расчет_показ!K47</f>
        <v>12</v>
      </c>
      <c r="Q35" s="27">
        <f>расчет_показ!L47</f>
        <v>14</v>
      </c>
      <c r="R35" s="27">
        <f>расчет_показ!M47</f>
        <v>15</v>
      </c>
      <c r="S35" s="29">
        <f t="shared" si="6"/>
        <v>15</v>
      </c>
      <c r="T35" s="20">
        <v>2024</v>
      </c>
    </row>
    <row r="36" spans="1:25" ht="28.5">
      <c r="A36" s="10" t="s">
        <v>337</v>
      </c>
      <c r="B36" s="10">
        <v>1</v>
      </c>
      <c r="C36" s="10">
        <v>1</v>
      </c>
      <c r="D36" s="10">
        <v>0</v>
      </c>
      <c r="E36" s="10">
        <v>0</v>
      </c>
      <c r="F36" s="10">
        <v>0</v>
      </c>
      <c r="G36" s="17"/>
      <c r="H36" s="11" t="s">
        <v>56</v>
      </c>
      <c r="I36" s="12" t="s">
        <v>264</v>
      </c>
      <c r="J36" s="30">
        <f>J37+J38+J39</f>
        <v>953836.8</v>
      </c>
      <c r="K36" s="30">
        <f aca="true" t="shared" si="7" ref="K36:S36">K37+K38+K39</f>
        <v>916212</v>
      </c>
      <c r="L36" s="30">
        <f t="shared" si="7"/>
        <v>198569.9</v>
      </c>
      <c r="M36" s="30">
        <f t="shared" si="7"/>
        <v>477080.10000000003</v>
      </c>
      <c r="N36" s="30">
        <f t="shared" si="7"/>
        <v>143738.775</v>
      </c>
      <c r="O36" s="30">
        <f t="shared" si="7"/>
        <v>165677.025</v>
      </c>
      <c r="P36" s="30">
        <f>P37+P38+P39</f>
        <v>348179.9</v>
      </c>
      <c r="Q36" s="30">
        <f>Q37+Q38+Q39</f>
        <v>295945.17500000005</v>
      </c>
      <c r="R36" s="30">
        <f>R37+R38+R39</f>
        <v>214764.35</v>
      </c>
      <c r="S36" s="30">
        <f t="shared" si="7"/>
        <v>3714004.0250000004</v>
      </c>
      <c r="T36" s="14">
        <v>2024</v>
      </c>
      <c r="U36" s="15"/>
      <c r="Y36" s="16"/>
    </row>
    <row r="37" spans="1:20" ht="15">
      <c r="A37" s="17" t="s">
        <v>337</v>
      </c>
      <c r="B37" s="17">
        <v>1</v>
      </c>
      <c r="C37" s="17">
        <v>1</v>
      </c>
      <c r="D37" s="17">
        <v>0</v>
      </c>
      <c r="E37" s="17">
        <v>0</v>
      </c>
      <c r="F37" s="17">
        <v>0</v>
      </c>
      <c r="G37" s="17">
        <v>2</v>
      </c>
      <c r="H37" s="18" t="s">
        <v>233</v>
      </c>
      <c r="I37" s="91" t="s">
        <v>264</v>
      </c>
      <c r="J37" s="21">
        <f aca="true" t="shared" si="8" ref="J37:O37">J41+J57</f>
        <v>293835.7</v>
      </c>
      <c r="K37" s="21">
        <f t="shared" si="8"/>
        <v>11734</v>
      </c>
      <c r="L37" s="21">
        <f t="shared" si="8"/>
        <v>960.5</v>
      </c>
      <c r="M37" s="21">
        <f t="shared" si="8"/>
        <v>9423.4</v>
      </c>
      <c r="N37" s="21">
        <f t="shared" si="8"/>
        <v>9159.7575</v>
      </c>
      <c r="O37" s="21">
        <f t="shared" si="8"/>
        <v>13402.362500000001</v>
      </c>
      <c r="P37" s="21">
        <f aca="true" t="shared" si="9" ref="P37:R39">P41+P57</f>
        <v>31817.99</v>
      </c>
      <c r="Q37" s="21">
        <f t="shared" si="9"/>
        <v>25094.5175</v>
      </c>
      <c r="R37" s="21">
        <f t="shared" si="9"/>
        <v>16976.435</v>
      </c>
      <c r="S37" s="19">
        <f>SUM(J37:R37)</f>
        <v>412404.66250000003</v>
      </c>
      <c r="T37" s="20">
        <v>2024</v>
      </c>
    </row>
    <row r="38" spans="1:20" ht="15">
      <c r="A38" s="17" t="s">
        <v>337</v>
      </c>
      <c r="B38" s="17">
        <v>1</v>
      </c>
      <c r="C38" s="17">
        <v>1</v>
      </c>
      <c r="D38" s="17">
        <v>0</v>
      </c>
      <c r="E38" s="17">
        <v>0</v>
      </c>
      <c r="F38" s="17">
        <v>0</v>
      </c>
      <c r="G38" s="17">
        <v>3</v>
      </c>
      <c r="H38" s="18" t="s">
        <v>234</v>
      </c>
      <c r="I38" s="91" t="s">
        <v>264</v>
      </c>
      <c r="J38" s="21">
        <f aca="true" t="shared" si="10" ref="J38:O38">J42+J58</f>
        <v>213125.4</v>
      </c>
      <c r="K38" s="21">
        <f t="shared" si="10"/>
        <v>297396.9</v>
      </c>
      <c r="L38" s="21">
        <f t="shared" si="10"/>
        <v>187073.5</v>
      </c>
      <c r="M38" s="21">
        <f t="shared" si="10"/>
        <v>44658.59999999999</v>
      </c>
      <c r="N38" s="21">
        <f t="shared" si="10"/>
        <v>52141.2</v>
      </c>
      <c r="O38" s="21">
        <f t="shared" si="10"/>
        <v>31653.4</v>
      </c>
      <c r="P38" s="21">
        <f t="shared" si="9"/>
        <v>3000</v>
      </c>
      <c r="Q38" s="21">
        <f t="shared" si="9"/>
        <v>4500</v>
      </c>
      <c r="R38" s="21">
        <f t="shared" si="9"/>
        <v>4500</v>
      </c>
      <c r="S38" s="19">
        <f>SUM(J38:R38)</f>
        <v>838049</v>
      </c>
      <c r="T38" s="20">
        <v>2024</v>
      </c>
    </row>
    <row r="39" spans="1:20" ht="15">
      <c r="A39" s="17" t="s">
        <v>337</v>
      </c>
      <c r="B39" s="17">
        <v>1</v>
      </c>
      <c r="C39" s="17">
        <v>1</v>
      </c>
      <c r="D39" s="17">
        <v>0</v>
      </c>
      <c r="E39" s="17">
        <v>0</v>
      </c>
      <c r="F39" s="17">
        <v>0</v>
      </c>
      <c r="G39" s="17">
        <v>5</v>
      </c>
      <c r="H39" s="18" t="s">
        <v>340</v>
      </c>
      <c r="I39" s="91" t="s">
        <v>264</v>
      </c>
      <c r="J39" s="21">
        <f aca="true" t="shared" si="11" ref="J39:O39">J43+J59</f>
        <v>446875.7</v>
      </c>
      <c r="K39" s="21">
        <f t="shared" si="11"/>
        <v>607081.1</v>
      </c>
      <c r="L39" s="21">
        <f t="shared" si="11"/>
        <v>10535.9</v>
      </c>
      <c r="M39" s="21">
        <f t="shared" si="11"/>
        <v>422998.10000000003</v>
      </c>
      <c r="N39" s="21">
        <f t="shared" si="11"/>
        <v>82437.8175</v>
      </c>
      <c r="O39" s="21">
        <f t="shared" si="11"/>
        <v>120621.2625</v>
      </c>
      <c r="P39" s="21">
        <f t="shared" si="9"/>
        <v>313361.91000000003</v>
      </c>
      <c r="Q39" s="21">
        <f t="shared" si="9"/>
        <v>266350.65750000003</v>
      </c>
      <c r="R39" s="21">
        <f t="shared" si="9"/>
        <v>193287.915</v>
      </c>
      <c r="S39" s="19">
        <f>SUM(J39:R39)</f>
        <v>2463550.3625000003</v>
      </c>
      <c r="T39" s="20">
        <v>2024</v>
      </c>
    </row>
    <row r="40" spans="1:26" ht="30">
      <c r="A40" s="17" t="s">
        <v>337</v>
      </c>
      <c r="B40" s="17">
        <v>1</v>
      </c>
      <c r="C40" s="17">
        <v>1</v>
      </c>
      <c r="D40" s="17">
        <v>1</v>
      </c>
      <c r="E40" s="17">
        <v>0</v>
      </c>
      <c r="F40" s="17">
        <v>0</v>
      </c>
      <c r="G40" s="17"/>
      <c r="H40" s="18" t="s">
        <v>57</v>
      </c>
      <c r="I40" s="91" t="s">
        <v>264</v>
      </c>
      <c r="J40" s="21">
        <f aca="true" t="shared" si="12" ref="J40:O40">SUM(J41:J43)</f>
        <v>770170.7</v>
      </c>
      <c r="K40" s="21">
        <f t="shared" si="12"/>
        <v>799869.8</v>
      </c>
      <c r="L40" s="21">
        <f t="shared" si="12"/>
        <v>186910.6</v>
      </c>
      <c r="M40" s="21">
        <f t="shared" si="12"/>
        <v>434598.9</v>
      </c>
      <c r="N40" s="21">
        <f t="shared" si="12"/>
        <v>52141.2</v>
      </c>
      <c r="O40" s="21">
        <f t="shared" si="12"/>
        <v>31653.4</v>
      </c>
      <c r="P40" s="21">
        <f>SUM(P41:P43)</f>
        <v>100000</v>
      </c>
      <c r="Q40" s="21">
        <f>SUM(Q41:Q43)</f>
        <v>150000</v>
      </c>
      <c r="R40" s="21">
        <f>SUM(R41:R43)</f>
        <v>150000</v>
      </c>
      <c r="S40" s="19">
        <f>SUM(J40:O40)</f>
        <v>2275344.6</v>
      </c>
      <c r="T40" s="17">
        <v>2024</v>
      </c>
      <c r="Z40" s="16"/>
    </row>
    <row r="41" spans="1:20" ht="15">
      <c r="A41" s="17" t="s">
        <v>337</v>
      </c>
      <c r="B41" s="17">
        <v>1</v>
      </c>
      <c r="C41" s="17">
        <v>1</v>
      </c>
      <c r="D41" s="17">
        <v>1</v>
      </c>
      <c r="E41" s="17">
        <v>0</v>
      </c>
      <c r="F41" s="17">
        <v>0</v>
      </c>
      <c r="G41" s="17">
        <v>2</v>
      </c>
      <c r="H41" s="18" t="s">
        <v>233</v>
      </c>
      <c r="I41" s="91" t="s">
        <v>264</v>
      </c>
      <c r="J41" s="21">
        <f aca="true" t="shared" si="13" ref="J41:O41">J47</f>
        <v>223933.5</v>
      </c>
      <c r="K41" s="21">
        <f t="shared" si="13"/>
        <v>7333.7</v>
      </c>
      <c r="L41" s="21">
        <f t="shared" si="13"/>
        <v>0</v>
      </c>
      <c r="M41" s="21">
        <f t="shared" si="13"/>
        <v>8028.6</v>
      </c>
      <c r="N41" s="21">
        <f t="shared" si="13"/>
        <v>0</v>
      </c>
      <c r="O41" s="21">
        <f t="shared" si="13"/>
        <v>0</v>
      </c>
      <c r="P41" s="21">
        <f>P47</f>
        <v>7000</v>
      </c>
      <c r="Q41" s="21">
        <f>Q47</f>
        <v>10500</v>
      </c>
      <c r="R41" s="21">
        <f>R47</f>
        <v>10500</v>
      </c>
      <c r="S41" s="19">
        <f>SUM(J41:O41)</f>
        <v>239295.80000000002</v>
      </c>
      <c r="T41" s="20">
        <v>2024</v>
      </c>
    </row>
    <row r="42" spans="1:20" ht="15">
      <c r="A42" s="17" t="s">
        <v>337</v>
      </c>
      <c r="B42" s="17">
        <v>1</v>
      </c>
      <c r="C42" s="17">
        <v>1</v>
      </c>
      <c r="D42" s="17">
        <v>1</v>
      </c>
      <c r="E42" s="17">
        <v>0</v>
      </c>
      <c r="F42" s="17">
        <v>0</v>
      </c>
      <c r="G42" s="17">
        <v>3</v>
      </c>
      <c r="H42" s="18" t="s">
        <v>234</v>
      </c>
      <c r="I42" s="91" t="s">
        <v>264</v>
      </c>
      <c r="J42" s="21">
        <f aca="true" t="shared" si="14" ref="J42:O42">J48+J53</f>
        <v>212168.1</v>
      </c>
      <c r="K42" s="21">
        <f t="shared" si="14"/>
        <v>295302.4</v>
      </c>
      <c r="L42" s="21">
        <f t="shared" si="14"/>
        <v>186910.6</v>
      </c>
      <c r="M42" s="21">
        <f t="shared" si="14"/>
        <v>33168.299999999996</v>
      </c>
      <c r="N42" s="21">
        <f t="shared" si="14"/>
        <v>52141.2</v>
      </c>
      <c r="O42" s="21">
        <f t="shared" si="14"/>
        <v>31653.4</v>
      </c>
      <c r="P42" s="21">
        <f>P48+P53</f>
        <v>3000</v>
      </c>
      <c r="Q42" s="21">
        <f>Q48+Q53</f>
        <v>4500</v>
      </c>
      <c r="R42" s="21">
        <f>R48+R53</f>
        <v>4500</v>
      </c>
      <c r="S42" s="19">
        <f>SUM(J42:O42)</f>
        <v>811344</v>
      </c>
      <c r="T42" s="20">
        <v>2024</v>
      </c>
    </row>
    <row r="43" spans="1:20" ht="15">
      <c r="A43" s="17" t="s">
        <v>337</v>
      </c>
      <c r="B43" s="17">
        <v>1</v>
      </c>
      <c r="C43" s="17">
        <v>1</v>
      </c>
      <c r="D43" s="17">
        <v>1</v>
      </c>
      <c r="E43" s="17">
        <v>0</v>
      </c>
      <c r="F43" s="17">
        <v>0</v>
      </c>
      <c r="G43" s="17">
        <v>5</v>
      </c>
      <c r="H43" s="18" t="s">
        <v>340</v>
      </c>
      <c r="I43" s="91" t="s">
        <v>264</v>
      </c>
      <c r="J43" s="21">
        <f aca="true" t="shared" si="15" ref="J43:O43">J49</f>
        <v>334069.10000000003</v>
      </c>
      <c r="K43" s="21">
        <f t="shared" si="15"/>
        <v>497233.7</v>
      </c>
      <c r="L43" s="21">
        <f t="shared" si="15"/>
        <v>0</v>
      </c>
      <c r="M43" s="21">
        <f t="shared" si="15"/>
        <v>393402</v>
      </c>
      <c r="N43" s="21">
        <f t="shared" si="15"/>
        <v>0</v>
      </c>
      <c r="O43" s="21">
        <f t="shared" si="15"/>
        <v>0</v>
      </c>
      <c r="P43" s="21">
        <f>P49</f>
        <v>90000</v>
      </c>
      <c r="Q43" s="21">
        <f>Q49</f>
        <v>135000</v>
      </c>
      <c r="R43" s="21">
        <f>R49</f>
        <v>135000</v>
      </c>
      <c r="S43" s="19">
        <f>SUM(J43:O43)</f>
        <v>1224704.8</v>
      </c>
      <c r="T43" s="20">
        <v>2024</v>
      </c>
    </row>
    <row r="44" spans="1:20" ht="60">
      <c r="A44" s="17" t="s">
        <v>337</v>
      </c>
      <c r="B44" s="17">
        <v>1</v>
      </c>
      <c r="C44" s="17">
        <v>1</v>
      </c>
      <c r="D44" s="17">
        <v>1</v>
      </c>
      <c r="E44" s="17">
        <v>0</v>
      </c>
      <c r="F44" s="17">
        <v>0</v>
      </c>
      <c r="G44" s="17"/>
      <c r="H44" s="18" t="s">
        <v>108</v>
      </c>
      <c r="I44" s="91" t="s">
        <v>263</v>
      </c>
      <c r="J44" s="23">
        <f>расчет_показ!E63</f>
        <v>0.07269288589302168</v>
      </c>
      <c r="K44" s="23">
        <f>расчет_показ!F63</f>
        <v>0.11160470409711684</v>
      </c>
      <c r="L44" s="23">
        <f>расчет_показ!G63</f>
        <v>0.021763570632526028</v>
      </c>
      <c r="M44" s="23">
        <f>расчет_показ!H63</f>
        <v>0.022239742470536884</v>
      </c>
      <c r="N44" s="23">
        <f>расчет_показ!I63</f>
        <v>0.032859607327692435</v>
      </c>
      <c r="O44" s="23">
        <f>расчет_показ!J63</f>
        <v>0.021994941163532386</v>
      </c>
      <c r="P44" s="23">
        <f>расчет_показ!K63</f>
        <v>0.011042707671921155</v>
      </c>
      <c r="Q44" s="23">
        <f>расчет_показ!L63</f>
        <v>0.016630633627141195</v>
      </c>
      <c r="R44" s="23">
        <f>расчет_показ!M63</f>
        <v>0.016699137211244084</v>
      </c>
      <c r="S44" s="23">
        <f>R44</f>
        <v>0.016699137211244084</v>
      </c>
      <c r="T44" s="20">
        <v>2024</v>
      </c>
    </row>
    <row r="45" spans="1:27" ht="45">
      <c r="A45" s="17" t="s">
        <v>337</v>
      </c>
      <c r="B45" s="17">
        <v>1</v>
      </c>
      <c r="C45" s="17">
        <v>1</v>
      </c>
      <c r="D45" s="17">
        <v>1</v>
      </c>
      <c r="E45" s="17">
        <v>0</v>
      </c>
      <c r="F45" s="17">
        <v>0</v>
      </c>
      <c r="G45" s="17"/>
      <c r="H45" s="18" t="s">
        <v>110</v>
      </c>
      <c r="I45" s="91" t="s">
        <v>266</v>
      </c>
      <c r="J45" s="28">
        <f>расчет_показ!E66</f>
        <v>36.42967083412092</v>
      </c>
      <c r="K45" s="28">
        <f>расчет_показ!F66</f>
        <v>45.93857842995099</v>
      </c>
      <c r="L45" s="28">
        <f>расчет_показ!G66</f>
        <v>6.8300547660075415</v>
      </c>
      <c r="M45" s="28">
        <f>расчет_показ!H66</f>
        <v>5.939542305086228</v>
      </c>
      <c r="N45" s="28">
        <f>расчет_показ!I66</f>
        <v>6.860435866358709</v>
      </c>
      <c r="O45" s="28">
        <f>расчет_показ!J66</f>
        <v>6.931688212664194</v>
      </c>
      <c r="P45" s="28">
        <f>расчет_показ!K66</f>
        <v>3.8038795767803584</v>
      </c>
      <c r="Q45" s="28">
        <f>расчет_показ!L66</f>
        <v>5.296797203291077</v>
      </c>
      <c r="R45" s="28">
        <f>расчет_показ!M66</f>
        <v>4.9425022241260015</v>
      </c>
      <c r="S45" s="28">
        <f>R45</f>
        <v>4.9425022241260015</v>
      </c>
      <c r="T45" s="20">
        <v>2024</v>
      </c>
      <c r="Y45" s="31"/>
      <c r="Z45" s="31">
        <v>2023</v>
      </c>
      <c r="AA45" s="31">
        <v>2024</v>
      </c>
    </row>
    <row r="46" spans="1:27" ht="30">
      <c r="A46" s="17" t="s">
        <v>337</v>
      </c>
      <c r="B46" s="17">
        <v>1</v>
      </c>
      <c r="C46" s="17">
        <v>1</v>
      </c>
      <c r="D46" s="17">
        <v>1</v>
      </c>
      <c r="E46" s="17">
        <v>0</v>
      </c>
      <c r="F46" s="17">
        <v>1</v>
      </c>
      <c r="G46" s="17"/>
      <c r="H46" s="18" t="s">
        <v>66</v>
      </c>
      <c r="I46" s="91" t="s">
        <v>264</v>
      </c>
      <c r="J46" s="19">
        <f>J47+J48+J49</f>
        <v>706640.8</v>
      </c>
      <c r="K46" s="19">
        <f aca="true" t="shared" si="16" ref="K46:R46">K47+K48+K49</f>
        <v>758303.6000000001</v>
      </c>
      <c r="L46" s="19">
        <f t="shared" si="16"/>
        <v>176038.2</v>
      </c>
      <c r="M46" s="19">
        <f t="shared" si="16"/>
        <v>432424.5</v>
      </c>
      <c r="N46" s="19">
        <f t="shared" si="16"/>
        <v>52141.2</v>
      </c>
      <c r="O46" s="19">
        <f t="shared" si="16"/>
        <v>31653.4</v>
      </c>
      <c r="P46" s="19">
        <f t="shared" si="16"/>
        <v>100000</v>
      </c>
      <c r="Q46" s="19">
        <f t="shared" si="16"/>
        <v>150000</v>
      </c>
      <c r="R46" s="19">
        <f t="shared" si="16"/>
        <v>150000</v>
      </c>
      <c r="S46" s="19">
        <f aca="true" t="shared" si="17" ref="S46:S53">SUM(J46:R46)</f>
        <v>2557201.7</v>
      </c>
      <c r="T46" s="20">
        <v>2024</v>
      </c>
      <c r="V46" s="32"/>
      <c r="X46" s="33"/>
      <c r="Z46" s="2">
        <f>4000*49.717</f>
        <v>198868</v>
      </c>
      <c r="AA46" s="2">
        <v>200000</v>
      </c>
    </row>
    <row r="47" spans="1:24" ht="15">
      <c r="A47" s="17" t="s">
        <v>337</v>
      </c>
      <c r="B47" s="17">
        <v>1</v>
      </c>
      <c r="C47" s="17">
        <v>1</v>
      </c>
      <c r="D47" s="17">
        <v>1</v>
      </c>
      <c r="E47" s="17">
        <v>0</v>
      </c>
      <c r="F47" s="17">
        <v>1</v>
      </c>
      <c r="G47" s="17">
        <v>2</v>
      </c>
      <c r="H47" s="18" t="s">
        <v>233</v>
      </c>
      <c r="I47" s="91" t="s">
        <v>264</v>
      </c>
      <c r="J47" s="21">
        <f>64684.1-44684.1+131472.9+44684.1+0.1+3000-3000+2124.8+9182.9+16468.7</f>
        <v>223933.5</v>
      </c>
      <c r="K47" s="21">
        <v>7333.7</v>
      </c>
      <c r="L47" s="21">
        <v>0</v>
      </c>
      <c r="M47" s="21">
        <v>8028.6</v>
      </c>
      <c r="N47" s="21"/>
      <c r="O47" s="21"/>
      <c r="P47" s="21">
        <v>7000</v>
      </c>
      <c r="Q47" s="21">
        <v>10500</v>
      </c>
      <c r="R47" s="21">
        <v>10500</v>
      </c>
      <c r="S47" s="19">
        <f t="shared" si="17"/>
        <v>267295.80000000005</v>
      </c>
      <c r="T47" s="20">
        <v>2024</v>
      </c>
      <c r="U47" s="87"/>
      <c r="W47" s="16"/>
      <c r="X47" s="34"/>
    </row>
    <row r="48" spans="1:27" ht="15">
      <c r="A48" s="17" t="s">
        <v>337</v>
      </c>
      <c r="B48" s="17">
        <v>1</v>
      </c>
      <c r="C48" s="17">
        <v>1</v>
      </c>
      <c r="D48" s="17">
        <v>1</v>
      </c>
      <c r="E48" s="17">
        <v>0</v>
      </c>
      <c r="F48" s="17">
        <v>1</v>
      </c>
      <c r="G48" s="17">
        <v>3</v>
      </c>
      <c r="H48" s="18" t="s">
        <v>234</v>
      </c>
      <c r="I48" s="91" t="s">
        <v>264</v>
      </c>
      <c r="J48" s="21">
        <f>119638.7+24972.9-3000+3000-36.7-194.8+4258.2-0.1</f>
        <v>148638.2</v>
      </c>
      <c r="K48" s="21">
        <f>235820.6+17589.6+341.5-15-0.5</f>
        <v>253736.2</v>
      </c>
      <c r="L48" s="21">
        <v>176038.2</v>
      </c>
      <c r="M48" s="21">
        <f>30993.8+0.1</f>
        <v>30993.899999999998</v>
      </c>
      <c r="N48" s="21">
        <v>52141.2</v>
      </c>
      <c r="O48" s="21">
        <v>31653.4</v>
      </c>
      <c r="P48" s="21">
        <v>3000</v>
      </c>
      <c r="Q48" s="21">
        <v>4500</v>
      </c>
      <c r="R48" s="21">
        <v>4500</v>
      </c>
      <c r="S48" s="19">
        <f t="shared" si="17"/>
        <v>705201.1000000001</v>
      </c>
      <c r="T48" s="20">
        <v>2024</v>
      </c>
      <c r="Z48" s="2">
        <f>Z46*0.9</f>
        <v>178981.2</v>
      </c>
      <c r="AA48" s="2">
        <v>180000</v>
      </c>
    </row>
    <row r="49" spans="1:27" ht="15">
      <c r="A49" s="17" t="s">
        <v>337</v>
      </c>
      <c r="B49" s="17">
        <v>1</v>
      </c>
      <c r="C49" s="17">
        <v>1</v>
      </c>
      <c r="D49" s="17">
        <v>1</v>
      </c>
      <c r="E49" s="17">
        <v>0</v>
      </c>
      <c r="F49" s="17">
        <v>1</v>
      </c>
      <c r="G49" s="17">
        <v>5</v>
      </c>
      <c r="H49" s="18" t="s">
        <v>340</v>
      </c>
      <c r="I49" s="91" t="s">
        <v>264</v>
      </c>
      <c r="J49" s="21">
        <f>334069.2-0.1</f>
        <v>334069.10000000003</v>
      </c>
      <c r="K49" s="21">
        <v>497233.7</v>
      </c>
      <c r="L49" s="21">
        <v>0</v>
      </c>
      <c r="M49" s="21">
        <v>393402</v>
      </c>
      <c r="N49" s="21"/>
      <c r="O49" s="21"/>
      <c r="P49" s="21">
        <v>90000</v>
      </c>
      <c r="Q49" s="21">
        <v>135000</v>
      </c>
      <c r="R49" s="21">
        <v>135000</v>
      </c>
      <c r="S49" s="19">
        <f t="shared" si="17"/>
        <v>1584704.8</v>
      </c>
      <c r="T49" s="20">
        <v>2024</v>
      </c>
      <c r="W49" s="16"/>
      <c r="X49" s="16"/>
      <c r="Z49" s="2">
        <f>Z46*0.07</f>
        <v>13920.760000000002</v>
      </c>
      <c r="AA49" s="2">
        <v>14000</v>
      </c>
    </row>
    <row r="50" spans="1:27" ht="15">
      <c r="A50" s="17" t="s">
        <v>337</v>
      </c>
      <c r="B50" s="17">
        <v>1</v>
      </c>
      <c r="C50" s="17">
        <v>1</v>
      </c>
      <c r="D50" s="17">
        <v>1</v>
      </c>
      <c r="E50" s="17">
        <v>0</v>
      </c>
      <c r="F50" s="17">
        <v>1</v>
      </c>
      <c r="G50" s="17"/>
      <c r="H50" s="18" t="s">
        <v>35</v>
      </c>
      <c r="I50" s="91" t="s">
        <v>265</v>
      </c>
      <c r="J50" s="28">
        <v>7</v>
      </c>
      <c r="K50" s="28">
        <v>1</v>
      </c>
      <c r="L50" s="28">
        <v>1</v>
      </c>
      <c r="M50" s="28">
        <v>2</v>
      </c>
      <c r="N50" s="28">
        <v>1</v>
      </c>
      <c r="O50" s="28">
        <v>1</v>
      </c>
      <c r="P50" s="28">
        <v>1</v>
      </c>
      <c r="Q50" s="28">
        <v>1</v>
      </c>
      <c r="R50" s="28">
        <v>1</v>
      </c>
      <c r="S50" s="29">
        <f t="shared" si="17"/>
        <v>16</v>
      </c>
      <c r="T50" s="20">
        <v>2024</v>
      </c>
      <c r="X50" s="33"/>
      <c r="AA50" s="2">
        <v>6000</v>
      </c>
    </row>
    <row r="51" spans="1:20" ht="30">
      <c r="A51" s="17" t="s">
        <v>337</v>
      </c>
      <c r="B51" s="17">
        <v>1</v>
      </c>
      <c r="C51" s="17">
        <v>1</v>
      </c>
      <c r="D51" s="17">
        <v>1</v>
      </c>
      <c r="E51" s="17">
        <v>0</v>
      </c>
      <c r="F51" s="17">
        <v>1</v>
      </c>
      <c r="G51" s="17"/>
      <c r="H51" s="18" t="s">
        <v>111</v>
      </c>
      <c r="I51" s="91" t="s">
        <v>263</v>
      </c>
      <c r="J51" s="19">
        <v>13491</v>
      </c>
      <c r="K51" s="19">
        <v>20624.9</v>
      </c>
      <c r="L51" s="21">
        <v>4003.3</v>
      </c>
      <c r="M51" s="21">
        <v>4076.1</v>
      </c>
      <c r="N51" s="21">
        <v>6000</v>
      </c>
      <c r="O51" s="21">
        <v>4000</v>
      </c>
      <c r="P51" s="21">
        <v>2000</v>
      </c>
      <c r="Q51" s="21">
        <v>3000</v>
      </c>
      <c r="R51" s="21">
        <v>3000</v>
      </c>
      <c r="S51" s="19">
        <f t="shared" si="17"/>
        <v>60195.3</v>
      </c>
      <c r="T51" s="20">
        <v>2024</v>
      </c>
    </row>
    <row r="52" spans="1:20" ht="45">
      <c r="A52" s="17" t="s">
        <v>337</v>
      </c>
      <c r="B52" s="17">
        <v>1</v>
      </c>
      <c r="C52" s="17">
        <v>1</v>
      </c>
      <c r="D52" s="17">
        <v>1</v>
      </c>
      <c r="E52" s="17">
        <v>0</v>
      </c>
      <c r="F52" s="17">
        <v>1</v>
      </c>
      <c r="G52" s="17"/>
      <c r="H52" s="18" t="s">
        <v>112</v>
      </c>
      <c r="I52" s="91" t="s">
        <v>265</v>
      </c>
      <c r="J52" s="29">
        <v>5</v>
      </c>
      <c r="K52" s="29">
        <v>1</v>
      </c>
      <c r="L52" s="28"/>
      <c r="M52" s="28"/>
      <c r="N52" s="28"/>
      <c r="O52" s="28"/>
      <c r="P52" s="28"/>
      <c r="Q52" s="28"/>
      <c r="R52" s="28"/>
      <c r="S52" s="19">
        <f t="shared" si="17"/>
        <v>6</v>
      </c>
      <c r="T52" s="20">
        <v>2017</v>
      </c>
    </row>
    <row r="53" spans="1:20" ht="30">
      <c r="A53" s="17" t="s">
        <v>337</v>
      </c>
      <c r="B53" s="17">
        <v>1</v>
      </c>
      <c r="C53" s="17">
        <v>1</v>
      </c>
      <c r="D53" s="17">
        <v>1</v>
      </c>
      <c r="E53" s="17">
        <v>0</v>
      </c>
      <c r="F53" s="17">
        <v>2</v>
      </c>
      <c r="G53" s="17">
        <v>3</v>
      </c>
      <c r="H53" s="18" t="s">
        <v>49</v>
      </c>
      <c r="I53" s="91" t="s">
        <v>264</v>
      </c>
      <c r="J53" s="21">
        <f>45588.9+17941</f>
        <v>63529.9</v>
      </c>
      <c r="K53" s="21">
        <f>10000+16000+7964.5+9587.1-1985.4</f>
        <v>41566.2</v>
      </c>
      <c r="L53" s="21">
        <f>10000+872.5-0.1</f>
        <v>10872.4</v>
      </c>
      <c r="M53" s="21">
        <v>2174.4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19">
        <f t="shared" si="17"/>
        <v>118142.9</v>
      </c>
      <c r="T53" s="20">
        <v>2024</v>
      </c>
    </row>
    <row r="54" spans="1:20" ht="30">
      <c r="A54" s="17" t="s">
        <v>337</v>
      </c>
      <c r="B54" s="17">
        <v>1</v>
      </c>
      <c r="C54" s="17">
        <v>1</v>
      </c>
      <c r="D54" s="17">
        <v>1</v>
      </c>
      <c r="E54" s="17">
        <v>0</v>
      </c>
      <c r="F54" s="17">
        <v>2</v>
      </c>
      <c r="G54" s="17"/>
      <c r="H54" s="18" t="s">
        <v>429</v>
      </c>
      <c r="I54" s="91" t="s">
        <v>265</v>
      </c>
      <c r="J54" s="29">
        <v>14</v>
      </c>
      <c r="K54" s="29">
        <v>18</v>
      </c>
      <c r="L54" s="29">
        <v>4</v>
      </c>
      <c r="M54" s="29">
        <v>5</v>
      </c>
      <c r="N54" s="29"/>
      <c r="O54" s="29"/>
      <c r="P54" s="29"/>
      <c r="Q54" s="29"/>
      <c r="R54" s="29"/>
      <c r="S54" s="29">
        <f aca="true" t="shared" si="18" ref="S54:S59">SUM(J54:O54)</f>
        <v>41</v>
      </c>
      <c r="T54" s="20">
        <v>2019</v>
      </c>
    </row>
    <row r="55" spans="1:20" ht="30">
      <c r="A55" s="17" t="s">
        <v>337</v>
      </c>
      <c r="B55" s="17">
        <v>1</v>
      </c>
      <c r="C55" s="17">
        <v>1</v>
      </c>
      <c r="D55" s="17">
        <v>1</v>
      </c>
      <c r="E55" s="17">
        <v>0</v>
      </c>
      <c r="F55" s="17">
        <v>2</v>
      </c>
      <c r="G55" s="17"/>
      <c r="H55" s="18" t="s">
        <v>381</v>
      </c>
      <c r="I55" s="91" t="s">
        <v>265</v>
      </c>
      <c r="J55" s="29">
        <v>18</v>
      </c>
      <c r="K55" s="29">
        <v>4</v>
      </c>
      <c r="L55" s="29">
        <v>4</v>
      </c>
      <c r="M55" s="29"/>
      <c r="N55" s="29"/>
      <c r="O55" s="29"/>
      <c r="P55" s="29"/>
      <c r="Q55" s="29"/>
      <c r="R55" s="29"/>
      <c r="S55" s="29">
        <f t="shared" si="18"/>
        <v>26</v>
      </c>
      <c r="T55" s="20">
        <v>2018</v>
      </c>
    </row>
    <row r="56" spans="1:26" ht="15">
      <c r="A56" s="17" t="s">
        <v>337</v>
      </c>
      <c r="B56" s="17">
        <v>1</v>
      </c>
      <c r="C56" s="17">
        <v>1</v>
      </c>
      <c r="D56" s="17">
        <v>2</v>
      </c>
      <c r="E56" s="17">
        <v>0</v>
      </c>
      <c r="F56" s="17">
        <v>0</v>
      </c>
      <c r="G56" s="17"/>
      <c r="H56" s="18" t="s">
        <v>61</v>
      </c>
      <c r="I56" s="91" t="s">
        <v>264</v>
      </c>
      <c r="J56" s="21">
        <f aca="true" t="shared" si="19" ref="J56:O56">J57+J59+J58</f>
        <v>183666.09999999998</v>
      </c>
      <c r="K56" s="21">
        <f t="shared" si="19"/>
        <v>116342.2</v>
      </c>
      <c r="L56" s="21">
        <f t="shared" si="19"/>
        <v>11659.3</v>
      </c>
      <c r="M56" s="21">
        <f t="shared" si="19"/>
        <v>42481.20000000003</v>
      </c>
      <c r="N56" s="21">
        <f t="shared" si="19"/>
        <v>91597.57500000001</v>
      </c>
      <c r="O56" s="21">
        <f t="shared" si="19"/>
        <v>134023.625</v>
      </c>
      <c r="P56" s="21">
        <f>P57+P59+P58</f>
        <v>248179.9</v>
      </c>
      <c r="Q56" s="21">
        <f>Q57+Q59+Q58</f>
        <v>145945.17500000005</v>
      </c>
      <c r="R56" s="21">
        <f>R57+R59+R58</f>
        <v>64764.35</v>
      </c>
      <c r="S56" s="21">
        <f t="shared" si="18"/>
        <v>579770</v>
      </c>
      <c r="T56" s="17">
        <v>2024</v>
      </c>
      <c r="Z56" s="16"/>
    </row>
    <row r="57" spans="1:20" ht="15">
      <c r="A57" s="17" t="s">
        <v>337</v>
      </c>
      <c r="B57" s="17">
        <v>1</v>
      </c>
      <c r="C57" s="17">
        <v>1</v>
      </c>
      <c r="D57" s="17">
        <v>2</v>
      </c>
      <c r="E57" s="17">
        <v>0</v>
      </c>
      <c r="F57" s="17">
        <v>0</v>
      </c>
      <c r="G57" s="17">
        <v>2</v>
      </c>
      <c r="H57" s="18" t="s">
        <v>233</v>
      </c>
      <c r="I57" s="91" t="s">
        <v>264</v>
      </c>
      <c r="J57" s="21">
        <f aca="true" t="shared" si="20" ref="J57:O57">J63</f>
        <v>69902.2</v>
      </c>
      <c r="K57" s="21">
        <f t="shared" si="20"/>
        <v>4400.3</v>
      </c>
      <c r="L57" s="21">
        <f t="shared" si="20"/>
        <v>960.5</v>
      </c>
      <c r="M57" s="21">
        <f t="shared" si="20"/>
        <v>1394.7999999999993</v>
      </c>
      <c r="N57" s="21">
        <f t="shared" si="20"/>
        <v>9159.7575</v>
      </c>
      <c r="O57" s="21">
        <f t="shared" si="20"/>
        <v>13402.362500000001</v>
      </c>
      <c r="P57" s="21">
        <f>P63</f>
        <v>24817.99</v>
      </c>
      <c r="Q57" s="21">
        <f>Q63</f>
        <v>14594.517500000002</v>
      </c>
      <c r="R57" s="21">
        <f>R63</f>
        <v>6476.435</v>
      </c>
      <c r="S57" s="19">
        <f t="shared" si="18"/>
        <v>99219.92</v>
      </c>
      <c r="T57" s="17">
        <v>2024</v>
      </c>
    </row>
    <row r="58" spans="1:20" ht="15">
      <c r="A58" s="17" t="s">
        <v>337</v>
      </c>
      <c r="B58" s="17">
        <v>1</v>
      </c>
      <c r="C58" s="17">
        <v>1</v>
      </c>
      <c r="D58" s="17">
        <v>2</v>
      </c>
      <c r="E58" s="17">
        <v>0</v>
      </c>
      <c r="F58" s="17">
        <v>0</v>
      </c>
      <c r="G58" s="17">
        <v>3</v>
      </c>
      <c r="H58" s="18" t="s">
        <v>234</v>
      </c>
      <c r="I58" s="91" t="s">
        <v>264</v>
      </c>
      <c r="J58" s="21">
        <f>J70+J64</f>
        <v>957.3</v>
      </c>
      <c r="K58" s="21">
        <f aca="true" t="shared" si="21" ref="K58:R58">K70+K64</f>
        <v>2094.5</v>
      </c>
      <c r="L58" s="21">
        <f t="shared" si="21"/>
        <v>162.9</v>
      </c>
      <c r="M58" s="21">
        <f t="shared" si="21"/>
        <v>11490.3</v>
      </c>
      <c r="N58" s="21">
        <f t="shared" si="21"/>
        <v>0</v>
      </c>
      <c r="O58" s="21">
        <f t="shared" si="21"/>
        <v>0</v>
      </c>
      <c r="P58" s="21">
        <f t="shared" si="21"/>
        <v>0</v>
      </c>
      <c r="Q58" s="21">
        <f t="shared" si="21"/>
        <v>0</v>
      </c>
      <c r="R58" s="21">
        <f t="shared" si="21"/>
        <v>0</v>
      </c>
      <c r="S58" s="19">
        <f t="shared" si="18"/>
        <v>14705</v>
      </c>
      <c r="T58" s="20">
        <v>2019</v>
      </c>
    </row>
    <row r="59" spans="1:20" ht="15">
      <c r="A59" s="17" t="s">
        <v>337</v>
      </c>
      <c r="B59" s="17">
        <v>1</v>
      </c>
      <c r="C59" s="17">
        <v>1</v>
      </c>
      <c r="D59" s="17">
        <v>2</v>
      </c>
      <c r="E59" s="17">
        <v>0</v>
      </c>
      <c r="F59" s="17">
        <v>0</v>
      </c>
      <c r="G59" s="17">
        <v>5</v>
      </c>
      <c r="H59" s="18" t="s">
        <v>340</v>
      </c>
      <c r="I59" s="91" t="s">
        <v>264</v>
      </c>
      <c r="J59" s="21">
        <f aca="true" t="shared" si="22" ref="J59:O59">J65</f>
        <v>112806.59999999999</v>
      </c>
      <c r="K59" s="21">
        <f t="shared" si="22"/>
        <v>109847.4</v>
      </c>
      <c r="L59" s="21">
        <f t="shared" si="22"/>
        <v>10535.9</v>
      </c>
      <c r="M59" s="21">
        <f t="shared" si="22"/>
        <v>29596.100000000035</v>
      </c>
      <c r="N59" s="21">
        <f t="shared" si="22"/>
        <v>82437.8175</v>
      </c>
      <c r="O59" s="21">
        <f t="shared" si="22"/>
        <v>120621.2625</v>
      </c>
      <c r="P59" s="21">
        <f>P65</f>
        <v>223361.91</v>
      </c>
      <c r="Q59" s="21">
        <f>Q65</f>
        <v>131350.65750000003</v>
      </c>
      <c r="R59" s="21">
        <f>R65</f>
        <v>58287.915</v>
      </c>
      <c r="S59" s="19">
        <f t="shared" si="18"/>
        <v>465845.08</v>
      </c>
      <c r="T59" s="17">
        <v>2024</v>
      </c>
    </row>
    <row r="60" spans="1:20" ht="45">
      <c r="A60" s="17" t="s">
        <v>337</v>
      </c>
      <c r="B60" s="17">
        <v>1</v>
      </c>
      <c r="C60" s="17">
        <v>1</v>
      </c>
      <c r="D60" s="17">
        <v>2</v>
      </c>
      <c r="E60" s="17">
        <v>0</v>
      </c>
      <c r="F60" s="17">
        <v>0</v>
      </c>
      <c r="G60" s="17"/>
      <c r="H60" s="18" t="s">
        <v>86</v>
      </c>
      <c r="I60" s="91" t="s">
        <v>266</v>
      </c>
      <c r="J60" s="21">
        <f>расчет_показ!E69</f>
        <v>9.801560802198907</v>
      </c>
      <c r="K60" s="21">
        <f>расчет_показ!F69</f>
        <v>3.4822028076521523</v>
      </c>
      <c r="L60" s="21">
        <f>расчет_показ!G69</f>
        <v>0.20311180608310694</v>
      </c>
      <c r="M60" s="21">
        <f>расчет_показ!H69</f>
        <v>0.986983655432845</v>
      </c>
      <c r="N60" s="21">
        <f>расчет_показ!I69</f>
        <v>1.948747861513056</v>
      </c>
      <c r="O60" s="21">
        <f>расчет_показ!J69</f>
        <v>2.8312473051448523</v>
      </c>
      <c r="P60" s="21">
        <f>расчет_показ!K69</f>
        <v>5.206063291526453</v>
      </c>
      <c r="Q60" s="21">
        <f>расчет_показ!L69</f>
        <v>3.040186970909976</v>
      </c>
      <c r="R60" s="21">
        <f>расчет_показ!M69</f>
        <v>1.3397855867465136</v>
      </c>
      <c r="S60" s="21">
        <f>R60</f>
        <v>1.3397855867465136</v>
      </c>
      <c r="T60" s="17">
        <v>2024</v>
      </c>
    </row>
    <row r="61" spans="1:20" ht="60">
      <c r="A61" s="17" t="s">
        <v>337</v>
      </c>
      <c r="B61" s="17">
        <v>1</v>
      </c>
      <c r="C61" s="17">
        <v>1</v>
      </c>
      <c r="D61" s="17">
        <v>2</v>
      </c>
      <c r="E61" s="17">
        <v>0</v>
      </c>
      <c r="F61" s="17">
        <v>0</v>
      </c>
      <c r="G61" s="17"/>
      <c r="H61" s="18" t="s">
        <v>113</v>
      </c>
      <c r="I61" s="91" t="s">
        <v>266</v>
      </c>
      <c r="J61" s="21">
        <f>расчет_показ!E72</f>
        <v>23.39049544994944</v>
      </c>
      <c r="K61" s="21">
        <f>расчет_показ!F72</f>
        <v>29.5534060506277</v>
      </c>
      <c r="L61" s="21">
        <f>расчет_показ!G72</f>
        <v>2.0066445182724255</v>
      </c>
      <c r="M61" s="21">
        <f>расчет_показ!H72</f>
        <v>5.947368421052632</v>
      </c>
      <c r="N61" s="21">
        <f>расчет_показ!I72</f>
        <v>11.607142857142858</v>
      </c>
      <c r="O61" s="21">
        <f>расчет_показ!J72</f>
        <v>14.181818181818182</v>
      </c>
      <c r="P61" s="21">
        <f>расчет_показ!K72</f>
        <v>14.925925925925926</v>
      </c>
      <c r="Q61" s="21">
        <f>расчет_показ!L72</f>
        <v>15.69811320754717</v>
      </c>
      <c r="R61" s="21">
        <f>расчет_показ!M72</f>
        <v>16.5</v>
      </c>
      <c r="S61" s="21">
        <f>R61</f>
        <v>16.5</v>
      </c>
      <c r="T61" s="17">
        <v>2024</v>
      </c>
    </row>
    <row r="62" spans="1:20" ht="45">
      <c r="A62" s="17" t="s">
        <v>337</v>
      </c>
      <c r="B62" s="17">
        <v>1</v>
      </c>
      <c r="C62" s="17">
        <v>1</v>
      </c>
      <c r="D62" s="17">
        <v>2</v>
      </c>
      <c r="E62" s="17">
        <v>0</v>
      </c>
      <c r="F62" s="17">
        <v>1</v>
      </c>
      <c r="G62" s="35"/>
      <c r="H62" s="18" t="s">
        <v>342</v>
      </c>
      <c r="I62" s="91" t="s">
        <v>264</v>
      </c>
      <c r="J62" s="19">
        <f aca="true" t="shared" si="23" ref="J62:R62">J63+J65</f>
        <v>182708.8</v>
      </c>
      <c r="K62" s="19">
        <f t="shared" si="23"/>
        <v>114247.7</v>
      </c>
      <c r="L62" s="19">
        <f t="shared" si="23"/>
        <v>11496.4</v>
      </c>
      <c r="M62" s="19">
        <f t="shared" si="23"/>
        <v>30990.900000000034</v>
      </c>
      <c r="N62" s="19">
        <f t="shared" si="23"/>
        <v>91597.57500000001</v>
      </c>
      <c r="O62" s="19">
        <f t="shared" si="23"/>
        <v>134023.625</v>
      </c>
      <c r="P62" s="19">
        <f t="shared" si="23"/>
        <v>248179.9</v>
      </c>
      <c r="Q62" s="19">
        <f t="shared" si="23"/>
        <v>145945.17500000005</v>
      </c>
      <c r="R62" s="19">
        <f t="shared" si="23"/>
        <v>64764.35</v>
      </c>
      <c r="S62" s="19">
        <f>SUM(J62:R62)</f>
        <v>1023954.425</v>
      </c>
      <c r="T62" s="17">
        <v>2024</v>
      </c>
    </row>
    <row r="63" spans="1:20" ht="15">
      <c r="A63" s="17" t="s">
        <v>337</v>
      </c>
      <c r="B63" s="17">
        <v>1</v>
      </c>
      <c r="C63" s="17">
        <v>1</v>
      </c>
      <c r="D63" s="17">
        <v>2</v>
      </c>
      <c r="E63" s="17">
        <v>0</v>
      </c>
      <c r="F63" s="17">
        <v>1</v>
      </c>
      <c r="G63" s="17">
        <v>2</v>
      </c>
      <c r="H63" s="18" t="s">
        <v>233</v>
      </c>
      <c r="I63" s="91" t="s">
        <v>264</v>
      </c>
      <c r="J63" s="19">
        <f>18137+70358.7-18593.5</f>
        <v>69902.2</v>
      </c>
      <c r="K63" s="19">
        <v>4400.3</v>
      </c>
      <c r="L63" s="19">
        <v>960.5</v>
      </c>
      <c r="M63" s="19">
        <f>960.5+8462.9-8028.6</f>
        <v>1394.7999999999993</v>
      </c>
      <c r="N63" s="19">
        <f>N66*47.5*0.1</f>
        <v>9159.7575</v>
      </c>
      <c r="O63" s="19">
        <f>O66*47.5*0.1</f>
        <v>13402.362500000001</v>
      </c>
      <c r="P63" s="19">
        <f>P66*47.5*0.1</f>
        <v>24817.99</v>
      </c>
      <c r="Q63" s="19">
        <f>Q66*47.5*0.1</f>
        <v>14594.517500000002</v>
      </c>
      <c r="R63" s="19">
        <f>R66*47.5*0.1</f>
        <v>6476.435</v>
      </c>
      <c r="S63" s="19">
        <f>SUM(J63:R63)</f>
        <v>145108.8625</v>
      </c>
      <c r="T63" s="17">
        <v>2024</v>
      </c>
    </row>
    <row r="64" spans="1:20" ht="15">
      <c r="A64" s="17" t="s">
        <v>337</v>
      </c>
      <c r="B64" s="17">
        <v>1</v>
      </c>
      <c r="C64" s="17">
        <v>1</v>
      </c>
      <c r="D64" s="17">
        <v>2</v>
      </c>
      <c r="E64" s="17">
        <v>0</v>
      </c>
      <c r="F64" s="17">
        <v>1</v>
      </c>
      <c r="G64" s="17">
        <v>3</v>
      </c>
      <c r="H64" s="18" t="s">
        <v>234</v>
      </c>
      <c r="I64" s="91" t="s">
        <v>264</v>
      </c>
      <c r="J64" s="19"/>
      <c r="K64" s="19"/>
      <c r="L64" s="19"/>
      <c r="M64" s="19">
        <f>8637.9-8615.1+11017.3</f>
        <v>11040.099999999999</v>
      </c>
      <c r="N64" s="19"/>
      <c r="O64" s="19"/>
      <c r="P64" s="19"/>
      <c r="Q64" s="19"/>
      <c r="R64" s="19"/>
      <c r="S64" s="19"/>
      <c r="T64" s="17"/>
    </row>
    <row r="65" spans="1:20" ht="15">
      <c r="A65" s="17" t="s">
        <v>337</v>
      </c>
      <c r="B65" s="17">
        <v>1</v>
      </c>
      <c r="C65" s="17">
        <v>1</v>
      </c>
      <c r="D65" s="17">
        <v>2</v>
      </c>
      <c r="E65" s="17">
        <v>0</v>
      </c>
      <c r="F65" s="17">
        <v>1</v>
      </c>
      <c r="G65" s="17">
        <v>5</v>
      </c>
      <c r="H65" s="18" t="s">
        <v>340</v>
      </c>
      <c r="I65" s="91" t="s">
        <v>264</v>
      </c>
      <c r="J65" s="19">
        <f>61621+66440.9-15255.3</f>
        <v>112806.59999999999</v>
      </c>
      <c r="K65" s="19">
        <v>109847.4</v>
      </c>
      <c r="L65" s="19">
        <v>10535.9</v>
      </c>
      <c r="M65" s="19">
        <f>7197.2+415800.9-393402</f>
        <v>29596.100000000035</v>
      </c>
      <c r="N65" s="19">
        <f>N66*47.5*0.9</f>
        <v>82437.8175</v>
      </c>
      <c r="O65" s="19">
        <f>O66*47.5*0.9</f>
        <v>120621.2625</v>
      </c>
      <c r="P65" s="19">
        <f>P66*47.5*0.9</f>
        <v>223361.91</v>
      </c>
      <c r="Q65" s="19">
        <f>Q66*47.5*0.9</f>
        <v>131350.65750000003</v>
      </c>
      <c r="R65" s="19">
        <f>R66*47.5*0.9</f>
        <v>58287.915</v>
      </c>
      <c r="S65" s="19">
        <f aca="true" t="shared" si="24" ref="S65:S73">SUM(J65:R65)</f>
        <v>878845.5625</v>
      </c>
      <c r="T65" s="17">
        <v>2024</v>
      </c>
    </row>
    <row r="66" spans="1:20" ht="30">
      <c r="A66" s="17" t="s">
        <v>337</v>
      </c>
      <c r="B66" s="17">
        <v>1</v>
      </c>
      <c r="C66" s="17">
        <v>1</v>
      </c>
      <c r="D66" s="17">
        <v>2</v>
      </c>
      <c r="E66" s="17">
        <v>0</v>
      </c>
      <c r="F66" s="17">
        <v>1</v>
      </c>
      <c r="G66" s="35"/>
      <c r="H66" s="18" t="s">
        <v>58</v>
      </c>
      <c r="I66" s="36" t="s">
        <v>263</v>
      </c>
      <c r="J66" s="24">
        <v>5015.34</v>
      </c>
      <c r="K66" s="24">
        <v>3588.78</v>
      </c>
      <c r="L66" s="24">
        <v>220.23</v>
      </c>
      <c r="M66" s="37">
        <v>891.31</v>
      </c>
      <c r="N66" s="37">
        <v>1928.37</v>
      </c>
      <c r="O66" s="37">
        <v>2821.55</v>
      </c>
      <c r="P66" s="37">
        <v>5224.84</v>
      </c>
      <c r="Q66" s="37">
        <v>3072.53</v>
      </c>
      <c r="R66" s="37">
        <v>1363.46</v>
      </c>
      <c r="S66" s="19">
        <f t="shared" si="24"/>
        <v>24126.409999999996</v>
      </c>
      <c r="T66" s="17">
        <v>2024</v>
      </c>
    </row>
    <row r="67" spans="1:20" ht="75">
      <c r="A67" s="17" t="s">
        <v>337</v>
      </c>
      <c r="B67" s="17">
        <v>1</v>
      </c>
      <c r="C67" s="17">
        <v>1</v>
      </c>
      <c r="D67" s="17">
        <v>2</v>
      </c>
      <c r="E67" s="17">
        <v>0</v>
      </c>
      <c r="F67" s="17">
        <v>2</v>
      </c>
      <c r="G67" s="35"/>
      <c r="H67" s="18" t="s">
        <v>149</v>
      </c>
      <c r="I67" s="91" t="s">
        <v>253</v>
      </c>
      <c r="J67" s="91" t="s">
        <v>267</v>
      </c>
      <c r="K67" s="91" t="s">
        <v>267</v>
      </c>
      <c r="L67" s="8" t="s">
        <v>267</v>
      </c>
      <c r="M67" s="91" t="s">
        <v>267</v>
      </c>
      <c r="N67" s="91" t="s">
        <v>267</v>
      </c>
      <c r="O67" s="91" t="s">
        <v>267</v>
      </c>
      <c r="P67" s="91" t="s">
        <v>267</v>
      </c>
      <c r="Q67" s="91" t="s">
        <v>267</v>
      </c>
      <c r="R67" s="91" t="s">
        <v>267</v>
      </c>
      <c r="S67" s="91" t="s">
        <v>267</v>
      </c>
      <c r="T67" s="17">
        <v>2024</v>
      </c>
    </row>
    <row r="68" spans="1:20" ht="75">
      <c r="A68" s="17" t="s">
        <v>337</v>
      </c>
      <c r="B68" s="17">
        <v>1</v>
      </c>
      <c r="C68" s="17">
        <v>1</v>
      </c>
      <c r="D68" s="17">
        <v>2</v>
      </c>
      <c r="E68" s="17">
        <v>0</v>
      </c>
      <c r="F68" s="17">
        <v>2</v>
      </c>
      <c r="G68" s="35"/>
      <c r="H68" s="18" t="s">
        <v>146</v>
      </c>
      <c r="I68" s="9" t="s">
        <v>265</v>
      </c>
      <c r="J68" s="29">
        <v>15</v>
      </c>
      <c r="K68" s="29">
        <v>17</v>
      </c>
      <c r="L68" s="29">
        <v>2</v>
      </c>
      <c r="M68" s="29">
        <v>1</v>
      </c>
      <c r="N68" s="29">
        <v>2</v>
      </c>
      <c r="O68" s="29">
        <v>2</v>
      </c>
      <c r="P68" s="29">
        <v>2</v>
      </c>
      <c r="Q68" s="29">
        <v>2</v>
      </c>
      <c r="R68" s="29">
        <v>2</v>
      </c>
      <c r="S68" s="29">
        <f t="shared" si="24"/>
        <v>45</v>
      </c>
      <c r="T68" s="17">
        <v>2024</v>
      </c>
    </row>
    <row r="69" spans="1:20" ht="75">
      <c r="A69" s="17" t="s">
        <v>337</v>
      </c>
      <c r="B69" s="17">
        <v>1</v>
      </c>
      <c r="C69" s="17">
        <v>1</v>
      </c>
      <c r="D69" s="17">
        <v>2</v>
      </c>
      <c r="E69" s="17">
        <v>0</v>
      </c>
      <c r="F69" s="17">
        <v>2</v>
      </c>
      <c r="G69" s="35"/>
      <c r="H69" s="18" t="s">
        <v>147</v>
      </c>
      <c r="I69" s="9" t="s">
        <v>265</v>
      </c>
      <c r="J69" s="29">
        <v>11</v>
      </c>
      <c r="K69" s="29">
        <v>3</v>
      </c>
      <c r="L69" s="29">
        <v>1</v>
      </c>
      <c r="M69" s="29">
        <v>8</v>
      </c>
      <c r="N69" s="29">
        <v>1</v>
      </c>
      <c r="O69" s="29">
        <v>1</v>
      </c>
      <c r="P69" s="29">
        <v>1</v>
      </c>
      <c r="Q69" s="29">
        <v>1</v>
      </c>
      <c r="R69" s="29">
        <v>1</v>
      </c>
      <c r="S69" s="29">
        <f t="shared" si="24"/>
        <v>28</v>
      </c>
      <c r="T69" s="17">
        <v>2024</v>
      </c>
    </row>
    <row r="70" spans="1:20" ht="45">
      <c r="A70" s="17" t="s">
        <v>337</v>
      </c>
      <c r="B70" s="17">
        <v>1</v>
      </c>
      <c r="C70" s="17">
        <v>1</v>
      </c>
      <c r="D70" s="17">
        <v>2</v>
      </c>
      <c r="E70" s="17">
        <v>0</v>
      </c>
      <c r="F70" s="17">
        <v>3</v>
      </c>
      <c r="G70" s="17">
        <v>3</v>
      </c>
      <c r="H70" s="18" t="s">
        <v>76</v>
      </c>
      <c r="I70" s="91" t="s">
        <v>264</v>
      </c>
      <c r="J70" s="91">
        <f>357.3+600</f>
        <v>957.3</v>
      </c>
      <c r="K70" s="38">
        <f>1807+287.5</f>
        <v>2094.5</v>
      </c>
      <c r="L70" s="8">
        <v>162.9</v>
      </c>
      <c r="M70" s="8">
        <v>450.2</v>
      </c>
      <c r="N70" s="8">
        <v>0</v>
      </c>
      <c r="O70" s="8">
        <v>0</v>
      </c>
      <c r="P70" s="38">
        <v>0</v>
      </c>
      <c r="Q70" s="38">
        <v>0</v>
      </c>
      <c r="R70" s="38">
        <v>0</v>
      </c>
      <c r="S70" s="19">
        <f t="shared" si="24"/>
        <v>3664.9</v>
      </c>
      <c r="T70" s="17">
        <v>2019</v>
      </c>
    </row>
    <row r="71" spans="1:20" ht="30">
      <c r="A71" s="17" t="s">
        <v>337</v>
      </c>
      <c r="B71" s="17">
        <v>1</v>
      </c>
      <c r="C71" s="17">
        <v>1</v>
      </c>
      <c r="D71" s="17">
        <v>2</v>
      </c>
      <c r="E71" s="17">
        <v>0</v>
      </c>
      <c r="F71" s="17">
        <v>3</v>
      </c>
      <c r="G71" s="35"/>
      <c r="H71" s="18" t="s">
        <v>36</v>
      </c>
      <c r="I71" s="9" t="s">
        <v>265</v>
      </c>
      <c r="J71" s="29">
        <v>40</v>
      </c>
      <c r="K71" s="29">
        <v>12</v>
      </c>
      <c r="L71" s="29"/>
      <c r="M71" s="29"/>
      <c r="N71" s="29"/>
      <c r="O71" s="29"/>
      <c r="P71" s="29"/>
      <c r="Q71" s="29"/>
      <c r="R71" s="29"/>
      <c r="S71" s="29">
        <f t="shared" si="24"/>
        <v>52</v>
      </c>
      <c r="T71" s="17">
        <v>2017</v>
      </c>
    </row>
    <row r="72" spans="1:20" ht="30">
      <c r="A72" s="17" t="s">
        <v>337</v>
      </c>
      <c r="B72" s="17">
        <v>1</v>
      </c>
      <c r="C72" s="17">
        <v>1</v>
      </c>
      <c r="D72" s="17">
        <v>2</v>
      </c>
      <c r="E72" s="17">
        <v>0</v>
      </c>
      <c r="F72" s="17">
        <v>3</v>
      </c>
      <c r="G72" s="35"/>
      <c r="H72" s="18" t="s">
        <v>77</v>
      </c>
      <c r="I72" s="9" t="s">
        <v>265</v>
      </c>
      <c r="J72" s="29">
        <v>95</v>
      </c>
      <c r="K72" s="29">
        <v>180</v>
      </c>
      <c r="L72" s="29">
        <v>11</v>
      </c>
      <c r="M72" s="29">
        <v>6</v>
      </c>
      <c r="N72" s="29"/>
      <c r="O72" s="29"/>
      <c r="P72" s="29"/>
      <c r="Q72" s="29"/>
      <c r="R72" s="29"/>
      <c r="S72" s="29">
        <f t="shared" si="24"/>
        <v>292</v>
      </c>
      <c r="T72" s="17">
        <v>2019</v>
      </c>
    </row>
    <row r="73" spans="1:20" ht="30">
      <c r="A73" s="17" t="s">
        <v>337</v>
      </c>
      <c r="B73" s="17">
        <v>1</v>
      </c>
      <c r="C73" s="17">
        <v>1</v>
      </c>
      <c r="D73" s="17">
        <v>2</v>
      </c>
      <c r="E73" s="17">
        <v>0</v>
      </c>
      <c r="F73" s="17">
        <v>3</v>
      </c>
      <c r="G73" s="35"/>
      <c r="H73" s="18" t="s">
        <v>78</v>
      </c>
      <c r="I73" s="9" t="s">
        <v>265</v>
      </c>
      <c r="J73" s="29"/>
      <c r="K73" s="29">
        <v>4</v>
      </c>
      <c r="L73" s="29"/>
      <c r="M73" s="29">
        <v>3</v>
      </c>
      <c r="N73" s="29"/>
      <c r="O73" s="29"/>
      <c r="P73" s="29"/>
      <c r="Q73" s="29"/>
      <c r="R73" s="29"/>
      <c r="S73" s="29">
        <f t="shared" si="24"/>
        <v>7</v>
      </c>
      <c r="T73" s="17">
        <v>2019</v>
      </c>
    </row>
    <row r="74" spans="1:25" ht="28.5">
      <c r="A74" s="10" t="s">
        <v>337</v>
      </c>
      <c r="B74" s="10">
        <v>1</v>
      </c>
      <c r="C74" s="10">
        <v>2</v>
      </c>
      <c r="D74" s="10">
        <v>0</v>
      </c>
      <c r="E74" s="10">
        <v>0</v>
      </c>
      <c r="F74" s="10">
        <v>0</v>
      </c>
      <c r="G74" s="10"/>
      <c r="H74" s="11" t="s">
        <v>50</v>
      </c>
      <c r="I74" s="12" t="s">
        <v>264</v>
      </c>
      <c r="J74" s="30">
        <f aca="true" t="shared" si="25" ref="J74:S74">SUM(J75:J77)</f>
        <v>116853.79999999999</v>
      </c>
      <c r="K74" s="30">
        <f t="shared" si="25"/>
        <v>94848</v>
      </c>
      <c r="L74" s="30">
        <f t="shared" si="25"/>
        <v>164069.8</v>
      </c>
      <c r="M74" s="30">
        <f t="shared" si="25"/>
        <v>929178.7</v>
      </c>
      <c r="N74" s="30">
        <f t="shared" si="25"/>
        <v>1396502.7</v>
      </c>
      <c r="O74" s="30">
        <f t="shared" si="25"/>
        <v>1295793.1</v>
      </c>
      <c r="P74" s="30">
        <f t="shared" si="25"/>
        <v>1547037.8</v>
      </c>
      <c r="Q74" s="30">
        <f t="shared" si="25"/>
        <v>1296255.0899999999</v>
      </c>
      <c r="R74" s="30">
        <f t="shared" si="25"/>
        <v>190609.8</v>
      </c>
      <c r="S74" s="30">
        <f t="shared" si="25"/>
        <v>7031148.79</v>
      </c>
      <c r="T74" s="14">
        <v>2024</v>
      </c>
      <c r="U74" s="39"/>
      <c r="Y74" s="16"/>
    </row>
    <row r="75" spans="1:20" ht="15">
      <c r="A75" s="17" t="s">
        <v>337</v>
      </c>
      <c r="B75" s="17">
        <v>1</v>
      </c>
      <c r="C75" s="17">
        <v>2</v>
      </c>
      <c r="D75" s="17">
        <v>0</v>
      </c>
      <c r="E75" s="17">
        <v>0</v>
      </c>
      <c r="F75" s="17">
        <v>0</v>
      </c>
      <c r="G75" s="17">
        <v>1</v>
      </c>
      <c r="H75" s="18" t="s">
        <v>222</v>
      </c>
      <c r="I75" s="91" t="s">
        <v>264</v>
      </c>
      <c r="J75" s="21">
        <f aca="true" t="shared" si="26" ref="J75:S75">J172+J79</f>
        <v>0</v>
      </c>
      <c r="K75" s="21">
        <f t="shared" si="26"/>
        <v>0</v>
      </c>
      <c r="L75" s="21">
        <f t="shared" si="26"/>
        <v>82505.2</v>
      </c>
      <c r="M75" s="21">
        <f t="shared" si="26"/>
        <v>263345.6</v>
      </c>
      <c r="N75" s="21">
        <f t="shared" si="26"/>
        <v>834235.2</v>
      </c>
      <c r="O75" s="21">
        <f t="shared" si="26"/>
        <v>882358.1</v>
      </c>
      <c r="P75" s="21">
        <f t="shared" si="26"/>
        <v>0</v>
      </c>
      <c r="Q75" s="21">
        <f t="shared" si="26"/>
        <v>0</v>
      </c>
      <c r="R75" s="21">
        <f t="shared" si="26"/>
        <v>0</v>
      </c>
      <c r="S75" s="21">
        <f t="shared" si="26"/>
        <v>2062444.0999999996</v>
      </c>
      <c r="T75" s="20">
        <v>2021</v>
      </c>
    </row>
    <row r="76" spans="1:20" ht="15">
      <c r="A76" s="17" t="s">
        <v>337</v>
      </c>
      <c r="B76" s="17">
        <v>1</v>
      </c>
      <c r="C76" s="17">
        <v>2</v>
      </c>
      <c r="D76" s="17">
        <v>0</v>
      </c>
      <c r="E76" s="17">
        <v>0</v>
      </c>
      <c r="F76" s="17">
        <v>0</v>
      </c>
      <c r="G76" s="17">
        <v>2</v>
      </c>
      <c r="H76" s="18" t="s">
        <v>233</v>
      </c>
      <c r="I76" s="91" t="s">
        <v>264</v>
      </c>
      <c r="J76" s="21">
        <f aca="true" t="shared" si="27" ref="J76:S76">J173+J80</f>
        <v>16942.7</v>
      </c>
      <c r="K76" s="21">
        <f t="shared" si="27"/>
        <v>0</v>
      </c>
      <c r="L76" s="21">
        <f t="shared" si="27"/>
        <v>9204.6</v>
      </c>
      <c r="M76" s="21">
        <f t="shared" si="27"/>
        <v>439335.6</v>
      </c>
      <c r="N76" s="21">
        <f t="shared" si="27"/>
        <v>264635</v>
      </c>
      <c r="O76" s="21">
        <f t="shared" si="27"/>
        <v>97118.6</v>
      </c>
      <c r="P76" s="21">
        <f t="shared" si="27"/>
        <v>1072100</v>
      </c>
      <c r="Q76" s="21">
        <f t="shared" si="27"/>
        <v>1197777.19</v>
      </c>
      <c r="R76" s="21">
        <f t="shared" si="27"/>
        <v>0</v>
      </c>
      <c r="S76" s="21">
        <f t="shared" si="27"/>
        <v>3097113.6900000004</v>
      </c>
      <c r="T76" s="20">
        <v>2024</v>
      </c>
    </row>
    <row r="77" spans="1:20" ht="15">
      <c r="A77" s="17" t="s">
        <v>337</v>
      </c>
      <c r="B77" s="17">
        <v>1</v>
      </c>
      <c r="C77" s="17">
        <v>2</v>
      </c>
      <c r="D77" s="17">
        <v>0</v>
      </c>
      <c r="E77" s="17">
        <v>0</v>
      </c>
      <c r="F77" s="17">
        <v>0</v>
      </c>
      <c r="G77" s="17">
        <v>3</v>
      </c>
      <c r="H77" s="18" t="s">
        <v>234</v>
      </c>
      <c r="I77" s="91" t="s">
        <v>264</v>
      </c>
      <c r="J77" s="21">
        <f aca="true" t="shared" si="28" ref="J77:S77">J81+J174</f>
        <v>99911.09999999999</v>
      </c>
      <c r="K77" s="21">
        <f t="shared" si="28"/>
        <v>94848</v>
      </c>
      <c r="L77" s="21">
        <f t="shared" si="28"/>
        <v>72360</v>
      </c>
      <c r="M77" s="21">
        <f t="shared" si="28"/>
        <v>226497.5</v>
      </c>
      <c r="N77" s="21">
        <f t="shared" si="28"/>
        <v>297632.5</v>
      </c>
      <c r="O77" s="21">
        <f t="shared" si="28"/>
        <v>316316.4</v>
      </c>
      <c r="P77" s="21">
        <f t="shared" si="28"/>
        <v>474937.8</v>
      </c>
      <c r="Q77" s="21">
        <f t="shared" si="28"/>
        <v>98477.9</v>
      </c>
      <c r="R77" s="21">
        <f t="shared" si="28"/>
        <v>190609.8</v>
      </c>
      <c r="S77" s="21">
        <f t="shared" si="28"/>
        <v>1871591</v>
      </c>
      <c r="T77" s="20">
        <v>2024</v>
      </c>
    </row>
    <row r="78" spans="1:26" ht="15">
      <c r="A78" s="17" t="s">
        <v>337</v>
      </c>
      <c r="B78" s="17">
        <v>1</v>
      </c>
      <c r="C78" s="17">
        <v>2</v>
      </c>
      <c r="D78" s="17">
        <v>1</v>
      </c>
      <c r="E78" s="17">
        <v>0</v>
      </c>
      <c r="F78" s="17">
        <v>0</v>
      </c>
      <c r="G78" s="17"/>
      <c r="H78" s="18" t="s">
        <v>220</v>
      </c>
      <c r="I78" s="91" t="s">
        <v>264</v>
      </c>
      <c r="J78" s="19">
        <f>SUM(J79:J81)</f>
        <v>88852.09999999999</v>
      </c>
      <c r="K78" s="19">
        <f aca="true" t="shared" si="29" ref="K78:S78">SUM(K79:K81)</f>
        <v>76678.5</v>
      </c>
      <c r="L78" s="19">
        <f t="shared" si="29"/>
        <v>26228.8</v>
      </c>
      <c r="M78" s="19">
        <f t="shared" si="29"/>
        <v>572828.9</v>
      </c>
      <c r="N78" s="19">
        <f t="shared" si="29"/>
        <v>676265.7</v>
      </c>
      <c r="O78" s="19">
        <f t="shared" si="29"/>
        <v>537864.5</v>
      </c>
      <c r="P78" s="19">
        <f t="shared" si="29"/>
        <v>1547037.8</v>
      </c>
      <c r="Q78" s="19">
        <f t="shared" si="29"/>
        <v>1296255.0899999999</v>
      </c>
      <c r="R78" s="19">
        <f t="shared" si="29"/>
        <v>190609.8</v>
      </c>
      <c r="S78" s="19">
        <f t="shared" si="29"/>
        <v>5012621.1899999995</v>
      </c>
      <c r="T78" s="20">
        <v>2024</v>
      </c>
      <c r="U78" s="15"/>
      <c r="V78" s="16"/>
      <c r="Z78" s="16"/>
    </row>
    <row r="79" spans="1:26" ht="15">
      <c r="A79" s="17" t="s">
        <v>337</v>
      </c>
      <c r="B79" s="17">
        <v>1</v>
      </c>
      <c r="C79" s="17">
        <v>2</v>
      </c>
      <c r="D79" s="17">
        <v>1</v>
      </c>
      <c r="E79" s="17">
        <v>0</v>
      </c>
      <c r="F79" s="17">
        <v>0</v>
      </c>
      <c r="G79" s="17">
        <v>1</v>
      </c>
      <c r="H79" s="18" t="s">
        <v>222</v>
      </c>
      <c r="I79" s="91" t="s">
        <v>264</v>
      </c>
      <c r="J79" s="19">
        <f aca="true" t="shared" si="30" ref="J79:R79">J85+J114</f>
        <v>0</v>
      </c>
      <c r="K79" s="19">
        <f t="shared" si="30"/>
        <v>0</v>
      </c>
      <c r="L79" s="19">
        <f t="shared" si="30"/>
        <v>0</v>
      </c>
      <c r="M79" s="19">
        <f t="shared" si="30"/>
        <v>263345.6</v>
      </c>
      <c r="N79" s="19">
        <f t="shared" si="30"/>
        <v>178295.6</v>
      </c>
      <c r="O79" s="19">
        <f t="shared" si="30"/>
        <v>185548.1</v>
      </c>
      <c r="P79" s="19">
        <f t="shared" si="30"/>
        <v>0</v>
      </c>
      <c r="Q79" s="19">
        <f t="shared" si="30"/>
        <v>0</v>
      </c>
      <c r="R79" s="19">
        <f t="shared" si="30"/>
        <v>0</v>
      </c>
      <c r="S79" s="19">
        <f>SUM(J79:R79)</f>
        <v>627189.2999999999</v>
      </c>
      <c r="T79" s="20">
        <v>2021</v>
      </c>
      <c r="U79" s="15"/>
      <c r="V79" s="16"/>
      <c r="Z79" s="16"/>
    </row>
    <row r="80" spans="1:20" ht="15">
      <c r="A80" s="17" t="s">
        <v>337</v>
      </c>
      <c r="B80" s="17">
        <v>1</v>
      </c>
      <c r="C80" s="17">
        <v>2</v>
      </c>
      <c r="D80" s="17">
        <v>1</v>
      </c>
      <c r="E80" s="17">
        <v>0</v>
      </c>
      <c r="F80" s="17">
        <v>0</v>
      </c>
      <c r="G80" s="17">
        <v>2</v>
      </c>
      <c r="H80" s="18" t="s">
        <v>233</v>
      </c>
      <c r="I80" s="91" t="s">
        <v>264</v>
      </c>
      <c r="J80" s="19">
        <f aca="true" t="shared" si="31" ref="J80:R80">J86+J115+J132</f>
        <v>5000</v>
      </c>
      <c r="K80" s="19">
        <f t="shared" si="31"/>
        <v>0</v>
      </c>
      <c r="L80" s="19">
        <f t="shared" si="31"/>
        <v>0</v>
      </c>
      <c r="M80" s="19">
        <f t="shared" si="31"/>
        <v>130647.7</v>
      </c>
      <c r="N80" s="19">
        <f t="shared" si="31"/>
        <v>212337.6</v>
      </c>
      <c r="O80" s="19">
        <f t="shared" si="31"/>
        <v>60000</v>
      </c>
      <c r="P80" s="19">
        <f t="shared" si="31"/>
        <v>1072100</v>
      </c>
      <c r="Q80" s="19">
        <f t="shared" si="31"/>
        <v>1197777.19</v>
      </c>
      <c r="R80" s="19">
        <f t="shared" si="31"/>
        <v>0</v>
      </c>
      <c r="S80" s="19">
        <f>SUM(J80:R80)</f>
        <v>2677862.49</v>
      </c>
      <c r="T80" s="20">
        <v>2024</v>
      </c>
    </row>
    <row r="81" spans="1:20" ht="15">
      <c r="A81" s="17" t="s">
        <v>337</v>
      </c>
      <c r="B81" s="17">
        <v>1</v>
      </c>
      <c r="C81" s="17">
        <v>2</v>
      </c>
      <c r="D81" s="17">
        <v>1</v>
      </c>
      <c r="E81" s="17">
        <v>0</v>
      </c>
      <c r="F81" s="17">
        <v>0</v>
      </c>
      <c r="G81" s="17">
        <v>3</v>
      </c>
      <c r="H81" s="18" t="s">
        <v>234</v>
      </c>
      <c r="I81" s="91" t="s">
        <v>264</v>
      </c>
      <c r="J81" s="19">
        <f aca="true" t="shared" si="32" ref="J81:R81">J87+J92+J98+J101+J107+J111+J116+J122+J126+J129+J133+J137+J139+J141+J143+J145+J149+J151+J155+J158+J165+J162+J168</f>
        <v>83852.09999999999</v>
      </c>
      <c r="K81" s="19">
        <f t="shared" si="32"/>
        <v>76678.5</v>
      </c>
      <c r="L81" s="19">
        <f t="shared" si="32"/>
        <v>26228.8</v>
      </c>
      <c r="M81" s="19">
        <f t="shared" si="32"/>
        <v>178835.6</v>
      </c>
      <c r="N81" s="19">
        <f t="shared" si="32"/>
        <v>285632.5</v>
      </c>
      <c r="O81" s="19">
        <f t="shared" si="32"/>
        <v>292316.4</v>
      </c>
      <c r="P81" s="19">
        <f t="shared" si="32"/>
        <v>474937.8</v>
      </c>
      <c r="Q81" s="19">
        <f t="shared" si="32"/>
        <v>98477.9</v>
      </c>
      <c r="R81" s="19">
        <f t="shared" si="32"/>
        <v>190609.8</v>
      </c>
      <c r="S81" s="19">
        <f>SUM(J81:R81)</f>
        <v>1707569.4</v>
      </c>
      <c r="T81" s="20">
        <v>2024</v>
      </c>
    </row>
    <row r="82" spans="1:20" ht="15">
      <c r="A82" s="17" t="s">
        <v>337</v>
      </c>
      <c r="B82" s="17">
        <v>1</v>
      </c>
      <c r="C82" s="17">
        <v>2</v>
      </c>
      <c r="D82" s="17">
        <v>1</v>
      </c>
      <c r="E82" s="17">
        <v>0</v>
      </c>
      <c r="F82" s="17">
        <v>0</v>
      </c>
      <c r="G82" s="17"/>
      <c r="H82" s="18" t="s">
        <v>313</v>
      </c>
      <c r="I82" s="91" t="s">
        <v>416</v>
      </c>
      <c r="J82" s="22">
        <f>расчет_показ!E76</f>
        <v>0.8708312683225953</v>
      </c>
      <c r="K82" s="22">
        <f>расчет_показ!F76</f>
        <v>1.148730765352537</v>
      </c>
      <c r="L82" s="23">
        <f>расчет_показ!G76</f>
        <v>1.9657097774670267</v>
      </c>
      <c r="M82" s="22">
        <f>расчет_показ!H76</f>
        <v>1.9657097774670267</v>
      </c>
      <c r="N82" s="22">
        <f>расчет_показ!I76</f>
        <v>1.9767904413760855</v>
      </c>
      <c r="O82" s="22">
        <f>расчет_показ!J76</f>
        <v>1.9915662850855373</v>
      </c>
      <c r="P82" s="22">
        <f>расчет_показ!K76</f>
        <v>1.9915662850855373</v>
      </c>
      <c r="Q82" s="22">
        <f>расчет_показ!L76</f>
        <v>1.9915662850855373</v>
      </c>
      <c r="R82" s="22">
        <f>расчет_показ!M76</f>
        <v>1.9915662850855373</v>
      </c>
      <c r="S82" s="22">
        <f>R82</f>
        <v>1.9915662850855373</v>
      </c>
      <c r="T82" s="20">
        <v>2024</v>
      </c>
    </row>
    <row r="83" spans="1:20" ht="30">
      <c r="A83" s="17" t="s">
        <v>337</v>
      </c>
      <c r="B83" s="17">
        <v>1</v>
      </c>
      <c r="C83" s="17">
        <v>2</v>
      </c>
      <c r="D83" s="17">
        <v>1</v>
      </c>
      <c r="E83" s="17">
        <v>0</v>
      </c>
      <c r="F83" s="17">
        <v>0</v>
      </c>
      <c r="G83" s="17"/>
      <c r="H83" s="18" t="s">
        <v>37</v>
      </c>
      <c r="I83" s="91" t="s">
        <v>366</v>
      </c>
      <c r="J83" s="40">
        <f>расчет_показ!E80</f>
        <v>0.547893153692113</v>
      </c>
      <c r="K83" s="40">
        <f>расчет_показ!F80</f>
        <v>0.5502710538001995</v>
      </c>
      <c r="L83" s="41">
        <f>расчет_показ!G80</f>
        <v>0.5568693495546675</v>
      </c>
      <c r="M83" s="40">
        <f>расчет_показ!H80</f>
        <v>0.561814510385508</v>
      </c>
      <c r="N83" s="40">
        <f>расчет_показ!I80</f>
        <v>0.561814510385508</v>
      </c>
      <c r="O83" s="40">
        <f>расчет_показ!J80</f>
        <v>0.561814510385508</v>
      </c>
      <c r="P83" s="40">
        <f>расчет_показ!K80</f>
        <v>0.5659201166327326</v>
      </c>
      <c r="Q83" s="40">
        <f>расчет_показ!L80</f>
        <v>0.5683499652280287</v>
      </c>
      <c r="R83" s="40">
        <f>расчет_показ!M80</f>
        <v>0.5683499652280287</v>
      </c>
      <c r="S83" s="40">
        <f>R83</f>
        <v>0.5683499652280287</v>
      </c>
      <c r="T83" s="20">
        <v>2024</v>
      </c>
    </row>
    <row r="84" spans="1:23" ht="45">
      <c r="A84" s="17" t="s">
        <v>337</v>
      </c>
      <c r="B84" s="17">
        <v>1</v>
      </c>
      <c r="C84" s="17">
        <v>2</v>
      </c>
      <c r="D84" s="17">
        <v>1</v>
      </c>
      <c r="E84" s="17">
        <v>0</v>
      </c>
      <c r="F84" s="17">
        <v>1</v>
      </c>
      <c r="G84" s="17"/>
      <c r="H84" s="18" t="s">
        <v>114</v>
      </c>
      <c r="I84" s="91" t="s">
        <v>264</v>
      </c>
      <c r="J84" s="19">
        <f>J85+J86+J87</f>
        <v>299.2000000000003</v>
      </c>
      <c r="K84" s="19">
        <f aca="true" t="shared" si="33" ref="K84:R84">K85+K86+K87</f>
        <v>1749.4</v>
      </c>
      <c r="L84" s="19">
        <f t="shared" si="33"/>
        <v>3282</v>
      </c>
      <c r="M84" s="19">
        <f t="shared" si="33"/>
        <v>182466.19999999998</v>
      </c>
      <c r="N84" s="19">
        <f t="shared" si="33"/>
        <v>337414.5</v>
      </c>
      <c r="O84" s="19">
        <f t="shared" si="33"/>
        <v>185548.1</v>
      </c>
      <c r="P84" s="19">
        <f t="shared" si="33"/>
        <v>0</v>
      </c>
      <c r="Q84" s="19">
        <f t="shared" si="33"/>
        <v>0</v>
      </c>
      <c r="R84" s="19">
        <f t="shared" si="33"/>
        <v>0</v>
      </c>
      <c r="S84" s="19">
        <f>SUM(J84:R84)</f>
        <v>710759.4</v>
      </c>
      <c r="T84" s="20">
        <v>2021</v>
      </c>
      <c r="V84" s="16"/>
      <c r="W84" s="16"/>
    </row>
    <row r="85" spans="1:23" ht="15">
      <c r="A85" s="17" t="s">
        <v>337</v>
      </c>
      <c r="B85" s="17">
        <v>1</v>
      </c>
      <c r="C85" s="17">
        <v>2</v>
      </c>
      <c r="D85" s="17">
        <v>1</v>
      </c>
      <c r="E85" s="17">
        <v>0</v>
      </c>
      <c r="F85" s="17">
        <v>1</v>
      </c>
      <c r="G85" s="17">
        <v>1</v>
      </c>
      <c r="H85" s="18" t="s">
        <v>222</v>
      </c>
      <c r="I85" s="91" t="s">
        <v>264</v>
      </c>
      <c r="J85" s="21"/>
      <c r="K85" s="21"/>
      <c r="L85" s="21"/>
      <c r="M85" s="21">
        <v>63345.6</v>
      </c>
      <c r="N85" s="21">
        <v>178295.6</v>
      </c>
      <c r="O85" s="21">
        <v>185548.1</v>
      </c>
      <c r="P85" s="21"/>
      <c r="Q85" s="21"/>
      <c r="R85" s="21"/>
      <c r="S85" s="19">
        <f>SUM(J85:R85)</f>
        <v>427189.30000000005</v>
      </c>
      <c r="T85" s="20">
        <v>2021</v>
      </c>
      <c r="V85" s="16"/>
      <c r="W85" s="16"/>
    </row>
    <row r="86" spans="1:23" ht="15">
      <c r="A86" s="17" t="s">
        <v>337</v>
      </c>
      <c r="B86" s="17">
        <v>1</v>
      </c>
      <c r="C86" s="17">
        <v>2</v>
      </c>
      <c r="D86" s="17">
        <v>1</v>
      </c>
      <c r="E86" s="17">
        <v>0</v>
      </c>
      <c r="F86" s="17">
        <v>1</v>
      </c>
      <c r="G86" s="17">
        <v>2</v>
      </c>
      <c r="H86" s="18" t="s">
        <v>233</v>
      </c>
      <c r="I86" s="91" t="s">
        <v>264</v>
      </c>
      <c r="J86" s="21"/>
      <c r="K86" s="21"/>
      <c r="L86" s="21"/>
      <c r="M86" s="21">
        <v>110647.7</v>
      </c>
      <c r="N86" s="21">
        <v>152337.6</v>
      </c>
      <c r="O86" s="21">
        <v>0</v>
      </c>
      <c r="P86" s="21"/>
      <c r="Q86" s="21"/>
      <c r="R86" s="21"/>
      <c r="S86" s="19">
        <f>SUM(J86:R86)</f>
        <v>262985.3</v>
      </c>
      <c r="T86" s="20">
        <v>2020</v>
      </c>
      <c r="V86" s="16"/>
      <c r="W86" s="16"/>
    </row>
    <row r="87" spans="1:23" ht="15">
      <c r="A87" s="17" t="s">
        <v>337</v>
      </c>
      <c r="B87" s="17">
        <v>1</v>
      </c>
      <c r="C87" s="17">
        <v>2</v>
      </c>
      <c r="D87" s="17">
        <v>1</v>
      </c>
      <c r="E87" s="17">
        <v>0</v>
      </c>
      <c r="F87" s="17">
        <v>1</v>
      </c>
      <c r="G87" s="17">
        <v>3</v>
      </c>
      <c r="H87" s="18" t="s">
        <v>234</v>
      </c>
      <c r="I87" s="91" t="s">
        <v>264</v>
      </c>
      <c r="J87" s="19">
        <f>1650+99.7+99.7+99.7+0.9-1650-0.9+0.1</f>
        <v>299.2000000000003</v>
      </c>
      <c r="K87" s="21">
        <f>30368.5-28718.5+99.4</f>
        <v>1749.4</v>
      </c>
      <c r="L87" s="21">
        <v>3282</v>
      </c>
      <c r="M87" s="21">
        <f>5750+2722.9</f>
        <v>8472.9</v>
      </c>
      <c r="N87" s="21">
        <f>2361.3+4420</f>
        <v>6781.3</v>
      </c>
      <c r="O87" s="21">
        <v>0</v>
      </c>
      <c r="P87" s="21"/>
      <c r="Q87" s="21"/>
      <c r="R87" s="21"/>
      <c r="S87" s="19">
        <f>SUM(J87:R87)</f>
        <v>20584.8</v>
      </c>
      <c r="T87" s="20">
        <v>2020</v>
      </c>
      <c r="V87" s="16"/>
      <c r="W87" s="16"/>
    </row>
    <row r="88" spans="1:23" ht="15">
      <c r="A88" s="17" t="s">
        <v>337</v>
      </c>
      <c r="B88" s="17">
        <v>1</v>
      </c>
      <c r="C88" s="17">
        <v>2</v>
      </c>
      <c r="D88" s="17">
        <v>1</v>
      </c>
      <c r="E88" s="17">
        <v>0</v>
      </c>
      <c r="F88" s="17">
        <v>1</v>
      </c>
      <c r="G88" s="17"/>
      <c r="H88" s="18" t="s">
        <v>179</v>
      </c>
      <c r="I88" s="91" t="s">
        <v>401</v>
      </c>
      <c r="J88" s="19">
        <f>150+150+150</f>
        <v>450</v>
      </c>
      <c r="K88" s="21">
        <v>125</v>
      </c>
      <c r="L88" s="21">
        <v>675</v>
      </c>
      <c r="M88" s="21"/>
      <c r="N88" s="21"/>
      <c r="O88" s="21"/>
      <c r="P88" s="21"/>
      <c r="Q88" s="21"/>
      <c r="R88" s="21"/>
      <c r="S88" s="24">
        <f aca="true" t="shared" si="34" ref="S88:S97">SUM(J88:O88)</f>
        <v>1250</v>
      </c>
      <c r="T88" s="20">
        <v>2018</v>
      </c>
      <c r="V88" s="16"/>
      <c r="W88" s="16"/>
    </row>
    <row r="89" spans="1:23" ht="15">
      <c r="A89" s="17" t="s">
        <v>337</v>
      </c>
      <c r="B89" s="17">
        <v>1</v>
      </c>
      <c r="C89" s="17">
        <v>2</v>
      </c>
      <c r="D89" s="17">
        <v>1</v>
      </c>
      <c r="E89" s="17">
        <v>0</v>
      </c>
      <c r="F89" s="17">
        <v>1</v>
      </c>
      <c r="G89" s="17"/>
      <c r="H89" s="18" t="s">
        <v>395</v>
      </c>
      <c r="I89" s="91" t="s">
        <v>265</v>
      </c>
      <c r="J89" s="29"/>
      <c r="K89" s="28">
        <v>1</v>
      </c>
      <c r="L89" s="28">
        <v>1</v>
      </c>
      <c r="M89" s="28"/>
      <c r="N89" s="28"/>
      <c r="O89" s="28"/>
      <c r="P89" s="28"/>
      <c r="Q89" s="28"/>
      <c r="R89" s="28"/>
      <c r="S89" s="29">
        <f t="shared" si="34"/>
        <v>2</v>
      </c>
      <c r="T89" s="20">
        <v>2018</v>
      </c>
      <c r="V89" s="16"/>
      <c r="W89" s="16"/>
    </row>
    <row r="90" spans="1:23" ht="45">
      <c r="A90" s="17" t="s">
        <v>337</v>
      </c>
      <c r="B90" s="17">
        <v>1</v>
      </c>
      <c r="C90" s="17">
        <v>2</v>
      </c>
      <c r="D90" s="17">
        <v>1</v>
      </c>
      <c r="E90" s="17">
        <v>0</v>
      </c>
      <c r="F90" s="17">
        <v>1</v>
      </c>
      <c r="G90" s="17"/>
      <c r="H90" s="18" t="s">
        <v>115</v>
      </c>
      <c r="I90" s="91" t="s">
        <v>398</v>
      </c>
      <c r="J90" s="42"/>
      <c r="K90" s="24"/>
      <c r="L90" s="21"/>
      <c r="M90" s="21">
        <v>4.566</v>
      </c>
      <c r="N90" s="21">
        <v>7.245</v>
      </c>
      <c r="O90" s="21"/>
      <c r="P90" s="21"/>
      <c r="Q90" s="21"/>
      <c r="R90" s="21"/>
      <c r="S90" s="19">
        <f t="shared" si="34"/>
        <v>11.811</v>
      </c>
      <c r="T90" s="20">
        <v>2020</v>
      </c>
      <c r="V90" s="16"/>
      <c r="W90" s="16"/>
    </row>
    <row r="91" spans="1:23" ht="30">
      <c r="A91" s="17" t="s">
        <v>337</v>
      </c>
      <c r="B91" s="17">
        <v>1</v>
      </c>
      <c r="C91" s="17">
        <v>2</v>
      </c>
      <c r="D91" s="17">
        <v>1</v>
      </c>
      <c r="E91" s="17">
        <v>0</v>
      </c>
      <c r="F91" s="17">
        <v>1</v>
      </c>
      <c r="G91" s="17"/>
      <c r="H91" s="18" t="s">
        <v>142</v>
      </c>
      <c r="I91" s="91" t="s">
        <v>265</v>
      </c>
      <c r="J91" s="42"/>
      <c r="K91" s="24"/>
      <c r="L91" s="21"/>
      <c r="M91" s="21"/>
      <c r="N91" s="21"/>
      <c r="O91" s="21">
        <v>1</v>
      </c>
      <c r="P91" s="21"/>
      <c r="Q91" s="21"/>
      <c r="R91" s="21"/>
      <c r="S91" s="19">
        <f t="shared" si="34"/>
        <v>1</v>
      </c>
      <c r="T91" s="20">
        <v>2021</v>
      </c>
      <c r="V91" s="16"/>
      <c r="W91" s="16"/>
    </row>
    <row r="92" spans="1:23" ht="45">
      <c r="A92" s="17" t="s">
        <v>337</v>
      </c>
      <c r="B92" s="17">
        <v>1</v>
      </c>
      <c r="C92" s="17">
        <v>2</v>
      </c>
      <c r="D92" s="17">
        <v>1</v>
      </c>
      <c r="E92" s="17">
        <v>0</v>
      </c>
      <c r="F92" s="17">
        <v>2</v>
      </c>
      <c r="G92" s="17">
        <v>3</v>
      </c>
      <c r="H92" s="18" t="s">
        <v>116</v>
      </c>
      <c r="I92" s="91" t="s">
        <v>264</v>
      </c>
      <c r="J92" s="19">
        <f>100+200</f>
        <v>300</v>
      </c>
      <c r="K92" s="21">
        <f>60237-22437-1000-1236.9</f>
        <v>35563.1</v>
      </c>
      <c r="L92" s="21">
        <v>17022.6</v>
      </c>
      <c r="M92" s="21">
        <v>10117.2</v>
      </c>
      <c r="N92" s="21">
        <v>50906.1</v>
      </c>
      <c r="O92" s="21"/>
      <c r="P92" s="21"/>
      <c r="Q92" s="21"/>
      <c r="R92" s="21"/>
      <c r="S92" s="19">
        <f t="shared" si="34"/>
        <v>113909</v>
      </c>
      <c r="T92" s="20">
        <v>2020</v>
      </c>
      <c r="V92" s="16"/>
      <c r="W92" s="16"/>
    </row>
    <row r="93" spans="1:23" ht="15">
      <c r="A93" s="17" t="s">
        <v>337</v>
      </c>
      <c r="B93" s="17">
        <v>1</v>
      </c>
      <c r="C93" s="17">
        <v>2</v>
      </c>
      <c r="D93" s="17">
        <v>1</v>
      </c>
      <c r="E93" s="17">
        <v>0</v>
      </c>
      <c r="F93" s="17">
        <v>2</v>
      </c>
      <c r="G93" s="17"/>
      <c r="H93" s="18" t="s">
        <v>412</v>
      </c>
      <c r="I93" s="91" t="s">
        <v>265</v>
      </c>
      <c r="J93" s="29">
        <v>1</v>
      </c>
      <c r="K93" s="43"/>
      <c r="L93" s="43"/>
      <c r="M93" s="28"/>
      <c r="N93" s="28"/>
      <c r="O93" s="28"/>
      <c r="P93" s="28"/>
      <c r="Q93" s="28"/>
      <c r="R93" s="28"/>
      <c r="S93" s="29">
        <f t="shared" si="34"/>
        <v>1</v>
      </c>
      <c r="T93" s="20">
        <v>2016</v>
      </c>
      <c r="V93" s="16"/>
      <c r="W93" s="16"/>
    </row>
    <row r="94" spans="1:23" ht="45">
      <c r="A94" s="17" t="s">
        <v>337</v>
      </c>
      <c r="B94" s="17">
        <v>1</v>
      </c>
      <c r="C94" s="17">
        <v>2</v>
      </c>
      <c r="D94" s="17">
        <v>1</v>
      </c>
      <c r="E94" s="17">
        <v>0</v>
      </c>
      <c r="F94" s="17">
        <v>2</v>
      </c>
      <c r="G94" s="17"/>
      <c r="H94" s="18" t="s">
        <v>430</v>
      </c>
      <c r="I94" s="91" t="s">
        <v>84</v>
      </c>
      <c r="J94" s="44"/>
      <c r="K94" s="22">
        <v>318.94</v>
      </c>
      <c r="L94" s="23"/>
      <c r="M94" s="86"/>
      <c r="N94" s="21"/>
      <c r="O94" s="21"/>
      <c r="P94" s="21"/>
      <c r="Q94" s="21"/>
      <c r="R94" s="21"/>
      <c r="S94" s="24">
        <f t="shared" si="34"/>
        <v>318.94</v>
      </c>
      <c r="T94" s="20">
        <v>2017</v>
      </c>
      <c r="V94" s="16"/>
      <c r="W94" s="16"/>
    </row>
    <row r="95" spans="1:23" ht="30">
      <c r="A95" s="17" t="s">
        <v>337</v>
      </c>
      <c r="B95" s="17">
        <v>1</v>
      </c>
      <c r="C95" s="17">
        <v>2</v>
      </c>
      <c r="D95" s="17">
        <v>1</v>
      </c>
      <c r="E95" s="17">
        <v>0</v>
      </c>
      <c r="F95" s="17">
        <v>2</v>
      </c>
      <c r="G95" s="17"/>
      <c r="H95" s="18" t="s">
        <v>223</v>
      </c>
      <c r="I95" s="91" t="s">
        <v>224</v>
      </c>
      <c r="J95" s="45"/>
      <c r="K95" s="46"/>
      <c r="L95" s="23">
        <v>3.48</v>
      </c>
      <c r="M95" s="53"/>
      <c r="N95" s="21"/>
      <c r="O95" s="47"/>
      <c r="P95" s="47"/>
      <c r="Q95" s="47"/>
      <c r="R95" s="47"/>
      <c r="S95" s="24">
        <f t="shared" si="34"/>
        <v>3.48</v>
      </c>
      <c r="T95" s="20">
        <v>2018</v>
      </c>
      <c r="V95" s="16"/>
      <c r="W95" s="16"/>
    </row>
    <row r="96" spans="1:23" ht="30">
      <c r="A96" s="17" t="s">
        <v>337</v>
      </c>
      <c r="B96" s="17">
        <v>1</v>
      </c>
      <c r="C96" s="17">
        <v>2</v>
      </c>
      <c r="D96" s="17">
        <v>1</v>
      </c>
      <c r="E96" s="17">
        <v>0</v>
      </c>
      <c r="F96" s="17">
        <v>2</v>
      </c>
      <c r="G96" s="17"/>
      <c r="H96" s="18" t="s">
        <v>442</v>
      </c>
      <c r="I96" s="91" t="s">
        <v>84</v>
      </c>
      <c r="J96" s="45"/>
      <c r="K96" s="46"/>
      <c r="L96" s="23"/>
      <c r="M96" s="53">
        <v>354</v>
      </c>
      <c r="N96" s="47"/>
      <c r="O96" s="47"/>
      <c r="P96" s="47"/>
      <c r="Q96" s="47"/>
      <c r="R96" s="47"/>
      <c r="S96" s="24">
        <f t="shared" si="34"/>
        <v>354</v>
      </c>
      <c r="T96" s="20">
        <v>2019</v>
      </c>
      <c r="V96" s="16"/>
      <c r="W96" s="16"/>
    </row>
    <row r="97" spans="1:23" ht="45">
      <c r="A97" s="17" t="s">
        <v>337</v>
      </c>
      <c r="B97" s="17">
        <v>1</v>
      </c>
      <c r="C97" s="17">
        <v>2</v>
      </c>
      <c r="D97" s="17">
        <v>1</v>
      </c>
      <c r="E97" s="17">
        <v>0</v>
      </c>
      <c r="F97" s="17">
        <v>2</v>
      </c>
      <c r="G97" s="17"/>
      <c r="H97" s="18" t="s">
        <v>441</v>
      </c>
      <c r="I97" s="91" t="s">
        <v>84</v>
      </c>
      <c r="J97" s="45"/>
      <c r="K97" s="46"/>
      <c r="L97" s="17"/>
      <c r="M97" s="48"/>
      <c r="N97" s="48">
        <v>472.86</v>
      </c>
      <c r="O97" s="47"/>
      <c r="P97" s="47"/>
      <c r="Q97" s="47"/>
      <c r="R97" s="47"/>
      <c r="S97" s="24">
        <f t="shared" si="34"/>
        <v>472.86</v>
      </c>
      <c r="T97" s="20">
        <v>2020</v>
      </c>
      <c r="V97" s="16"/>
      <c r="W97" s="16"/>
    </row>
    <row r="98" spans="1:23" ht="30">
      <c r="A98" s="17" t="s">
        <v>337</v>
      </c>
      <c r="B98" s="17">
        <v>1</v>
      </c>
      <c r="C98" s="17">
        <v>2</v>
      </c>
      <c r="D98" s="17">
        <v>1</v>
      </c>
      <c r="E98" s="17">
        <v>0</v>
      </c>
      <c r="F98" s="17">
        <v>3</v>
      </c>
      <c r="G98" s="17">
        <v>3</v>
      </c>
      <c r="H98" s="18" t="s">
        <v>431</v>
      </c>
      <c r="I98" s="91" t="s">
        <v>264</v>
      </c>
      <c r="J98" s="49">
        <f>1268.2+57055.3+5.4-434.4+0.1</f>
        <v>57894.6</v>
      </c>
      <c r="K98" s="47">
        <v>0</v>
      </c>
      <c r="L98" s="48">
        <v>0</v>
      </c>
      <c r="M98" s="47">
        <v>0</v>
      </c>
      <c r="N98" s="21">
        <v>0</v>
      </c>
      <c r="O98" s="21">
        <v>0</v>
      </c>
      <c r="P98" s="21">
        <v>0</v>
      </c>
      <c r="Q98" s="21">
        <v>0</v>
      </c>
      <c r="R98" s="21">
        <v>95609.8</v>
      </c>
      <c r="S98" s="19">
        <f>SUM(J98:R98)</f>
        <v>153504.4</v>
      </c>
      <c r="T98" s="20">
        <v>2024</v>
      </c>
      <c r="V98" s="16"/>
      <c r="W98" s="16"/>
    </row>
    <row r="99" spans="1:23" ht="45">
      <c r="A99" s="17" t="s">
        <v>337</v>
      </c>
      <c r="B99" s="17">
        <v>1</v>
      </c>
      <c r="C99" s="17">
        <v>2</v>
      </c>
      <c r="D99" s="17">
        <v>1</v>
      </c>
      <c r="E99" s="17">
        <v>0</v>
      </c>
      <c r="F99" s="17">
        <v>3</v>
      </c>
      <c r="G99" s="17"/>
      <c r="H99" s="18" t="s">
        <v>432</v>
      </c>
      <c r="I99" s="91" t="s">
        <v>93</v>
      </c>
      <c r="J99" s="42">
        <v>651.37</v>
      </c>
      <c r="K99" s="21"/>
      <c r="L99" s="23"/>
      <c r="M99" s="23"/>
      <c r="N99" s="23"/>
      <c r="O99" s="21"/>
      <c r="P99" s="21"/>
      <c r="Q99" s="21"/>
      <c r="R99" s="21"/>
      <c r="S99" s="24">
        <f>SUM(J99:O99)</f>
        <v>651.37</v>
      </c>
      <c r="T99" s="20">
        <v>2016</v>
      </c>
      <c r="V99" s="16"/>
      <c r="W99" s="16"/>
    </row>
    <row r="100" spans="1:23" ht="45">
      <c r="A100" s="17" t="s">
        <v>337</v>
      </c>
      <c r="B100" s="17">
        <v>1</v>
      </c>
      <c r="C100" s="17">
        <v>2</v>
      </c>
      <c r="D100" s="17">
        <v>1</v>
      </c>
      <c r="E100" s="17">
        <v>0</v>
      </c>
      <c r="F100" s="17">
        <v>3</v>
      </c>
      <c r="G100" s="17"/>
      <c r="H100" s="18" t="s">
        <v>433</v>
      </c>
      <c r="I100" s="91" t="s">
        <v>93</v>
      </c>
      <c r="J100" s="42"/>
      <c r="K100" s="21"/>
      <c r="L100" s="23"/>
      <c r="M100" s="23"/>
      <c r="N100" s="23"/>
      <c r="O100" s="23"/>
      <c r="P100" s="23"/>
      <c r="Q100" s="23"/>
      <c r="R100" s="23">
        <v>651.37</v>
      </c>
      <c r="S100" s="24">
        <f>SUM(J100:O100)</f>
        <v>0</v>
      </c>
      <c r="T100" s="20">
        <v>2024</v>
      </c>
      <c r="V100" s="16"/>
      <c r="W100" s="16"/>
    </row>
    <row r="101" spans="1:23" ht="60">
      <c r="A101" s="17" t="s">
        <v>337</v>
      </c>
      <c r="B101" s="17">
        <v>1</v>
      </c>
      <c r="C101" s="17">
        <v>2</v>
      </c>
      <c r="D101" s="17">
        <v>1</v>
      </c>
      <c r="E101" s="17">
        <v>0</v>
      </c>
      <c r="F101" s="17">
        <v>4</v>
      </c>
      <c r="G101" s="17">
        <v>3</v>
      </c>
      <c r="H101" s="18" t="s">
        <v>117</v>
      </c>
      <c r="I101" s="91" t="s">
        <v>264</v>
      </c>
      <c r="J101" s="19">
        <v>0</v>
      </c>
      <c r="K101" s="21">
        <f>0+1000</f>
        <v>1000</v>
      </c>
      <c r="L101" s="21">
        <v>1000</v>
      </c>
      <c r="M101" s="21">
        <v>65705.5</v>
      </c>
      <c r="N101" s="21">
        <v>93955.1</v>
      </c>
      <c r="O101" s="21">
        <v>119216.4</v>
      </c>
      <c r="P101" s="21"/>
      <c r="Q101" s="21"/>
      <c r="R101" s="21"/>
      <c r="S101" s="19">
        <f>SUM(J101:R101)</f>
        <v>280877</v>
      </c>
      <c r="T101" s="20">
        <v>2021</v>
      </c>
      <c r="V101" s="16"/>
      <c r="W101" s="16"/>
    </row>
    <row r="102" spans="1:23" ht="30">
      <c r="A102" s="17" t="s">
        <v>337</v>
      </c>
      <c r="B102" s="17">
        <v>1</v>
      </c>
      <c r="C102" s="17">
        <v>2</v>
      </c>
      <c r="D102" s="17">
        <v>1</v>
      </c>
      <c r="E102" s="17">
        <v>0</v>
      </c>
      <c r="F102" s="17">
        <v>4</v>
      </c>
      <c r="G102" s="17"/>
      <c r="H102" s="18" t="s">
        <v>14</v>
      </c>
      <c r="I102" s="91" t="s">
        <v>325</v>
      </c>
      <c r="J102" s="50"/>
      <c r="K102" s="23"/>
      <c r="L102" s="21"/>
      <c r="M102" s="21">
        <v>17.3</v>
      </c>
      <c r="N102" s="21"/>
      <c r="O102" s="21"/>
      <c r="P102" s="21"/>
      <c r="Q102" s="21"/>
      <c r="R102" s="21"/>
      <c r="S102" s="19">
        <f>SUM(J102:R102)</f>
        <v>17.3</v>
      </c>
      <c r="T102" s="20">
        <v>2019</v>
      </c>
      <c r="V102" s="16"/>
      <c r="W102" s="16"/>
    </row>
    <row r="103" spans="1:23" ht="30">
      <c r="A103" s="17" t="s">
        <v>337</v>
      </c>
      <c r="B103" s="17">
        <v>1</v>
      </c>
      <c r="C103" s="17">
        <v>2</v>
      </c>
      <c r="D103" s="17">
        <v>1</v>
      </c>
      <c r="E103" s="17">
        <v>0</v>
      </c>
      <c r="F103" s="17">
        <v>4</v>
      </c>
      <c r="G103" s="17"/>
      <c r="H103" s="18" t="s">
        <v>296</v>
      </c>
      <c r="I103" s="91" t="s">
        <v>397</v>
      </c>
      <c r="J103" s="50"/>
      <c r="K103" s="23"/>
      <c r="L103" s="21"/>
      <c r="M103" s="21"/>
      <c r="N103" s="21"/>
      <c r="O103" s="28">
        <v>1228</v>
      </c>
      <c r="P103" s="21"/>
      <c r="Q103" s="21"/>
      <c r="R103" s="21"/>
      <c r="S103" s="19">
        <f>SUM(J103:R103)</f>
        <v>1228</v>
      </c>
      <c r="T103" s="20">
        <v>2021</v>
      </c>
      <c r="V103" s="16"/>
      <c r="W103" s="16"/>
    </row>
    <row r="104" spans="1:23" ht="30">
      <c r="A104" s="17" t="s">
        <v>337</v>
      </c>
      <c r="B104" s="17">
        <v>1</v>
      </c>
      <c r="C104" s="17">
        <v>2</v>
      </c>
      <c r="D104" s="17">
        <v>1</v>
      </c>
      <c r="E104" s="17">
        <v>0</v>
      </c>
      <c r="F104" s="17">
        <v>4</v>
      </c>
      <c r="G104" s="17"/>
      <c r="H104" s="18" t="s">
        <v>71</v>
      </c>
      <c r="I104" s="91" t="s">
        <v>265</v>
      </c>
      <c r="J104" s="51"/>
      <c r="K104" s="28">
        <v>1</v>
      </c>
      <c r="L104" s="28">
        <v>1</v>
      </c>
      <c r="M104" s="28"/>
      <c r="N104" s="28"/>
      <c r="O104" s="28"/>
      <c r="P104" s="28"/>
      <c r="Q104" s="28"/>
      <c r="R104" s="28"/>
      <c r="S104" s="19">
        <v>1</v>
      </c>
      <c r="T104" s="20">
        <v>2018</v>
      </c>
      <c r="V104" s="16"/>
      <c r="W104" s="16"/>
    </row>
    <row r="105" spans="1:23" ht="30">
      <c r="A105" s="17" t="s">
        <v>337</v>
      </c>
      <c r="B105" s="17">
        <v>1</v>
      </c>
      <c r="C105" s="17">
        <v>2</v>
      </c>
      <c r="D105" s="17">
        <v>1</v>
      </c>
      <c r="E105" s="17">
        <v>0</v>
      </c>
      <c r="F105" s="17">
        <v>4</v>
      </c>
      <c r="G105" s="17"/>
      <c r="H105" s="18" t="s">
        <v>15</v>
      </c>
      <c r="I105" s="91" t="s">
        <v>224</v>
      </c>
      <c r="J105" s="51"/>
      <c r="K105" s="28"/>
      <c r="L105" s="28"/>
      <c r="M105" s="28"/>
      <c r="N105" s="21">
        <v>16</v>
      </c>
      <c r="O105" s="28"/>
      <c r="P105" s="28"/>
      <c r="Q105" s="28"/>
      <c r="R105" s="28"/>
      <c r="S105" s="19">
        <f>SUM(J105:R105)</f>
        <v>16</v>
      </c>
      <c r="T105" s="20">
        <v>2020</v>
      </c>
      <c r="V105" s="16"/>
      <c r="W105" s="16"/>
    </row>
    <row r="106" spans="1:23" ht="30">
      <c r="A106" s="17" t="s">
        <v>337</v>
      </c>
      <c r="B106" s="17">
        <v>1</v>
      </c>
      <c r="C106" s="17">
        <v>2</v>
      </c>
      <c r="D106" s="17">
        <v>1</v>
      </c>
      <c r="E106" s="17">
        <v>0</v>
      </c>
      <c r="F106" s="17">
        <v>4</v>
      </c>
      <c r="G106" s="17"/>
      <c r="H106" s="18" t="s">
        <v>443</v>
      </c>
      <c r="I106" s="91" t="s">
        <v>84</v>
      </c>
      <c r="J106" s="51"/>
      <c r="K106" s="28"/>
      <c r="L106" s="28"/>
      <c r="M106" s="28">
        <v>482</v>
      </c>
      <c r="N106" s="21"/>
      <c r="O106" s="28"/>
      <c r="P106" s="28"/>
      <c r="Q106" s="28"/>
      <c r="R106" s="28"/>
      <c r="S106" s="19"/>
      <c r="T106" s="20">
        <v>2019</v>
      </c>
      <c r="V106" s="16"/>
      <c r="W106" s="16"/>
    </row>
    <row r="107" spans="1:23" ht="45">
      <c r="A107" s="17" t="s">
        <v>337</v>
      </c>
      <c r="B107" s="17">
        <v>1</v>
      </c>
      <c r="C107" s="17">
        <v>2</v>
      </c>
      <c r="D107" s="17">
        <v>1</v>
      </c>
      <c r="E107" s="17">
        <v>0</v>
      </c>
      <c r="F107" s="17">
        <v>5</v>
      </c>
      <c r="G107" s="17">
        <v>3</v>
      </c>
      <c r="H107" s="18" t="s">
        <v>118</v>
      </c>
      <c r="I107" s="91" t="s">
        <v>264</v>
      </c>
      <c r="J107" s="19">
        <v>5.2</v>
      </c>
      <c r="K107" s="19">
        <f>100+679.8+5.1</f>
        <v>784.9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19">
        <f>SUM(J107:O107)</f>
        <v>790.1</v>
      </c>
      <c r="T107" s="20">
        <v>2017</v>
      </c>
      <c r="V107" s="16"/>
      <c r="W107" s="16"/>
    </row>
    <row r="108" spans="1:23" ht="30">
      <c r="A108" s="17" t="s">
        <v>337</v>
      </c>
      <c r="B108" s="17">
        <v>1</v>
      </c>
      <c r="C108" s="17">
        <v>2</v>
      </c>
      <c r="D108" s="17">
        <v>1</v>
      </c>
      <c r="E108" s="17">
        <v>0</v>
      </c>
      <c r="F108" s="17">
        <v>5</v>
      </c>
      <c r="G108" s="17"/>
      <c r="H108" s="18" t="s">
        <v>297</v>
      </c>
      <c r="I108" s="91" t="s">
        <v>265</v>
      </c>
      <c r="J108" s="28">
        <v>1</v>
      </c>
      <c r="K108" s="28"/>
      <c r="L108" s="28"/>
      <c r="M108" s="28"/>
      <c r="N108" s="28"/>
      <c r="O108" s="28"/>
      <c r="P108" s="28"/>
      <c r="Q108" s="28"/>
      <c r="R108" s="28"/>
      <c r="S108" s="28">
        <f>SUM(J108:O108)</f>
        <v>1</v>
      </c>
      <c r="T108" s="20">
        <v>2016</v>
      </c>
      <c r="V108" s="16"/>
      <c r="W108" s="16"/>
    </row>
    <row r="109" spans="1:23" ht="30">
      <c r="A109" s="17" t="s">
        <v>337</v>
      </c>
      <c r="B109" s="17">
        <v>1</v>
      </c>
      <c r="C109" s="17">
        <v>2</v>
      </c>
      <c r="D109" s="17">
        <v>1</v>
      </c>
      <c r="E109" s="17">
        <v>0</v>
      </c>
      <c r="F109" s="17">
        <v>5</v>
      </c>
      <c r="G109" s="17"/>
      <c r="H109" s="18" t="s">
        <v>296</v>
      </c>
      <c r="I109" s="91" t="s">
        <v>397</v>
      </c>
      <c r="J109" s="23"/>
      <c r="K109" s="23">
        <v>318.62</v>
      </c>
      <c r="L109" s="37"/>
      <c r="M109" s="37"/>
      <c r="N109" s="21"/>
      <c r="O109" s="21"/>
      <c r="P109" s="21"/>
      <c r="Q109" s="21"/>
      <c r="R109" s="21"/>
      <c r="S109" s="23">
        <f>SUM(J109:O109)</f>
        <v>318.62</v>
      </c>
      <c r="T109" s="20">
        <v>2017</v>
      </c>
      <c r="V109" s="16"/>
      <c r="W109" s="16"/>
    </row>
    <row r="110" spans="1:23" ht="30">
      <c r="A110" s="17" t="s">
        <v>337</v>
      </c>
      <c r="B110" s="17">
        <v>1</v>
      </c>
      <c r="C110" s="17">
        <v>2</v>
      </c>
      <c r="D110" s="17">
        <v>1</v>
      </c>
      <c r="E110" s="17">
        <v>0</v>
      </c>
      <c r="F110" s="17">
        <v>5</v>
      </c>
      <c r="G110" s="17"/>
      <c r="H110" s="18" t="s">
        <v>396</v>
      </c>
      <c r="I110" s="91" t="s">
        <v>265</v>
      </c>
      <c r="J110" s="28"/>
      <c r="K110" s="28">
        <v>1</v>
      </c>
      <c r="L110" s="43"/>
      <c r="M110" s="43"/>
      <c r="N110" s="28"/>
      <c r="O110" s="28"/>
      <c r="P110" s="28"/>
      <c r="Q110" s="28"/>
      <c r="R110" s="28"/>
      <c r="S110" s="28">
        <f>SUM(J110:O110)</f>
        <v>1</v>
      </c>
      <c r="T110" s="20">
        <v>2017</v>
      </c>
      <c r="V110" s="16"/>
      <c r="W110" s="16"/>
    </row>
    <row r="111" spans="1:23" ht="45">
      <c r="A111" s="17" t="s">
        <v>337</v>
      </c>
      <c r="B111" s="17">
        <v>1</v>
      </c>
      <c r="C111" s="17">
        <v>2</v>
      </c>
      <c r="D111" s="17">
        <v>1</v>
      </c>
      <c r="E111" s="17">
        <v>0</v>
      </c>
      <c r="F111" s="17">
        <v>6</v>
      </c>
      <c r="G111" s="17">
        <v>3</v>
      </c>
      <c r="H111" s="18" t="s">
        <v>91</v>
      </c>
      <c r="I111" s="91" t="s">
        <v>264</v>
      </c>
      <c r="J111" s="50">
        <v>0</v>
      </c>
      <c r="K111" s="21">
        <v>0</v>
      </c>
      <c r="L111" s="21">
        <v>0</v>
      </c>
      <c r="M111" s="21">
        <v>10110</v>
      </c>
      <c r="N111" s="21">
        <v>49882.7</v>
      </c>
      <c r="O111" s="21">
        <v>93900</v>
      </c>
      <c r="P111" s="21"/>
      <c r="Q111" s="21"/>
      <c r="R111" s="21"/>
      <c r="S111" s="19">
        <f aca="true" t="shared" si="35" ref="S111:S120">SUM(J111:R111)</f>
        <v>153892.7</v>
      </c>
      <c r="T111" s="20">
        <v>2021</v>
      </c>
      <c r="V111" s="16"/>
      <c r="W111" s="16"/>
    </row>
    <row r="112" spans="1:23" ht="15">
      <c r="A112" s="17" t="s">
        <v>337</v>
      </c>
      <c r="B112" s="17">
        <v>1</v>
      </c>
      <c r="C112" s="17">
        <v>2</v>
      </c>
      <c r="D112" s="17">
        <v>1</v>
      </c>
      <c r="E112" s="17">
        <v>0</v>
      </c>
      <c r="F112" s="17">
        <v>6</v>
      </c>
      <c r="G112" s="17"/>
      <c r="H112" s="18" t="s">
        <v>73</v>
      </c>
      <c r="I112" s="91" t="s">
        <v>84</v>
      </c>
      <c r="J112" s="45"/>
      <c r="K112" s="8"/>
      <c r="L112" s="8"/>
      <c r="M112" s="8">
        <v>15.8</v>
      </c>
      <c r="N112" s="21">
        <v>77.2</v>
      </c>
      <c r="O112" s="52">
        <f>184-M112-N112</f>
        <v>90.99999999999999</v>
      </c>
      <c r="P112" s="52"/>
      <c r="Q112" s="52"/>
      <c r="R112" s="52"/>
      <c r="S112" s="19">
        <f t="shared" si="35"/>
        <v>184</v>
      </c>
      <c r="T112" s="20">
        <v>2021</v>
      </c>
      <c r="V112" s="16"/>
      <c r="W112" s="16"/>
    </row>
    <row r="113" spans="1:23" ht="30">
      <c r="A113" s="17" t="s">
        <v>337</v>
      </c>
      <c r="B113" s="17">
        <v>1</v>
      </c>
      <c r="C113" s="17">
        <v>2</v>
      </c>
      <c r="D113" s="17">
        <v>1</v>
      </c>
      <c r="E113" s="17">
        <v>0</v>
      </c>
      <c r="F113" s="17">
        <v>7</v>
      </c>
      <c r="G113" s="17"/>
      <c r="H113" s="18" t="s">
        <v>141</v>
      </c>
      <c r="I113" s="91" t="s">
        <v>264</v>
      </c>
      <c r="J113" s="54">
        <f>SUM(J114:J116)</f>
        <v>0</v>
      </c>
      <c r="K113" s="54">
        <f>SUM(K114:K116)</f>
        <v>0</v>
      </c>
      <c r="L113" s="54">
        <f>SUM(L114:L116)</f>
        <v>100</v>
      </c>
      <c r="M113" s="54">
        <f aca="true" t="shared" si="36" ref="M113:R113">SUM(M114:M116)</f>
        <v>253565.4</v>
      </c>
      <c r="N113" s="54">
        <f t="shared" si="36"/>
        <v>110200</v>
      </c>
      <c r="O113" s="54">
        <f t="shared" si="36"/>
        <v>110200</v>
      </c>
      <c r="P113" s="54">
        <f t="shared" si="36"/>
        <v>1072100</v>
      </c>
      <c r="Q113" s="54">
        <f t="shared" si="36"/>
        <v>1267455.0899999999</v>
      </c>
      <c r="R113" s="54">
        <f t="shared" si="36"/>
        <v>0</v>
      </c>
      <c r="S113" s="19">
        <f t="shared" si="35"/>
        <v>2813620.4899999998</v>
      </c>
      <c r="T113" s="20">
        <v>2023</v>
      </c>
      <c r="V113" s="16"/>
      <c r="W113" s="16"/>
    </row>
    <row r="114" spans="1:23" ht="15">
      <c r="A114" s="17" t="s">
        <v>337</v>
      </c>
      <c r="B114" s="17">
        <v>1</v>
      </c>
      <c r="C114" s="17">
        <v>2</v>
      </c>
      <c r="D114" s="17">
        <v>1</v>
      </c>
      <c r="E114" s="17">
        <v>0</v>
      </c>
      <c r="F114" s="17">
        <v>7</v>
      </c>
      <c r="G114" s="17">
        <v>1</v>
      </c>
      <c r="H114" s="18" t="s">
        <v>222</v>
      </c>
      <c r="I114" s="91" t="s">
        <v>264</v>
      </c>
      <c r="J114" s="55"/>
      <c r="K114" s="54"/>
      <c r="L114" s="54"/>
      <c r="M114" s="54">
        <v>200000</v>
      </c>
      <c r="N114" s="55"/>
      <c r="O114" s="55"/>
      <c r="P114" s="55"/>
      <c r="Q114" s="55"/>
      <c r="R114" s="55"/>
      <c r="S114" s="19">
        <f t="shared" si="35"/>
        <v>200000</v>
      </c>
      <c r="T114" s="20">
        <v>2019</v>
      </c>
      <c r="V114" s="16"/>
      <c r="W114" s="16"/>
    </row>
    <row r="115" spans="1:23" ht="15">
      <c r="A115" s="17" t="s">
        <v>337</v>
      </c>
      <c r="B115" s="17">
        <v>1</v>
      </c>
      <c r="C115" s="17">
        <v>2</v>
      </c>
      <c r="D115" s="17">
        <v>1</v>
      </c>
      <c r="E115" s="17">
        <v>0</v>
      </c>
      <c r="F115" s="17">
        <v>7</v>
      </c>
      <c r="G115" s="17">
        <v>2</v>
      </c>
      <c r="H115" s="18" t="s">
        <v>233</v>
      </c>
      <c r="I115" s="91" t="s">
        <v>264</v>
      </c>
      <c r="J115" s="55"/>
      <c r="K115" s="54"/>
      <c r="L115" s="54"/>
      <c r="M115" s="54">
        <v>20000</v>
      </c>
      <c r="N115" s="55">
        <v>60000</v>
      </c>
      <c r="O115" s="55">
        <v>60000</v>
      </c>
      <c r="P115" s="55">
        <v>1072100</v>
      </c>
      <c r="Q115" s="55">
        <f>1267455.13-69677.94</f>
        <v>1197777.19</v>
      </c>
      <c r="R115" s="55"/>
      <c r="S115" s="19">
        <f t="shared" si="35"/>
        <v>2409877.19</v>
      </c>
      <c r="T115" s="20">
        <v>2023</v>
      </c>
      <c r="V115" s="16"/>
      <c r="W115" s="16"/>
    </row>
    <row r="116" spans="1:23" ht="15">
      <c r="A116" s="17" t="s">
        <v>337</v>
      </c>
      <c r="B116" s="17">
        <v>1</v>
      </c>
      <c r="C116" s="17">
        <v>2</v>
      </c>
      <c r="D116" s="17">
        <v>1</v>
      </c>
      <c r="E116" s="17">
        <v>0</v>
      </c>
      <c r="F116" s="17">
        <v>7</v>
      </c>
      <c r="G116" s="17">
        <v>3</v>
      </c>
      <c r="H116" s="18" t="s">
        <v>234</v>
      </c>
      <c r="I116" s="91" t="s">
        <v>264</v>
      </c>
      <c r="J116" s="55"/>
      <c r="K116" s="54"/>
      <c r="L116" s="54">
        <v>100</v>
      </c>
      <c r="M116" s="54">
        <f>33300+265.4</f>
        <v>33565.4</v>
      </c>
      <c r="N116" s="55">
        <v>50200</v>
      </c>
      <c r="O116" s="55">
        <v>50200</v>
      </c>
      <c r="P116" s="55"/>
      <c r="Q116" s="55">
        <v>69677.9</v>
      </c>
      <c r="R116" s="55"/>
      <c r="S116" s="19">
        <f t="shared" si="35"/>
        <v>203743.3</v>
      </c>
      <c r="T116" s="20">
        <v>2023</v>
      </c>
      <c r="V116" s="16"/>
      <c r="W116" s="16"/>
    </row>
    <row r="117" spans="1:23" ht="30">
      <c r="A117" s="17" t="s">
        <v>337</v>
      </c>
      <c r="B117" s="17">
        <v>1</v>
      </c>
      <c r="C117" s="17">
        <v>2</v>
      </c>
      <c r="D117" s="17">
        <v>1</v>
      </c>
      <c r="E117" s="17">
        <v>0</v>
      </c>
      <c r="F117" s="17">
        <v>7</v>
      </c>
      <c r="G117" s="17"/>
      <c r="H117" s="18" t="s">
        <v>389</v>
      </c>
      <c r="I117" s="91" t="s">
        <v>224</v>
      </c>
      <c r="J117" s="17"/>
      <c r="K117" s="17"/>
      <c r="L117" s="19"/>
      <c r="M117" s="19"/>
      <c r="N117" s="19">
        <f>ROUND(N113*(21.7+17.3)/($M$113+$N$113+$O$113),0)</f>
        <v>9</v>
      </c>
      <c r="O117" s="19">
        <f>ROUND(O113*(21.7+17.3)/($M$113+$N$113+$O$113),0)</f>
        <v>9</v>
      </c>
      <c r="P117" s="19"/>
      <c r="Q117" s="19"/>
      <c r="R117" s="19"/>
      <c r="S117" s="19">
        <f t="shared" si="35"/>
        <v>18</v>
      </c>
      <c r="T117" s="20">
        <v>2021</v>
      </c>
      <c r="V117" s="16"/>
      <c r="W117" s="16"/>
    </row>
    <row r="118" spans="1:23" ht="30">
      <c r="A118" s="17" t="s">
        <v>337</v>
      </c>
      <c r="B118" s="17">
        <v>1</v>
      </c>
      <c r="C118" s="17">
        <v>2</v>
      </c>
      <c r="D118" s="17">
        <v>1</v>
      </c>
      <c r="E118" s="17">
        <v>0</v>
      </c>
      <c r="F118" s="17">
        <v>7</v>
      </c>
      <c r="G118" s="17"/>
      <c r="H118" s="18" t="s">
        <v>226</v>
      </c>
      <c r="I118" s="91" t="s">
        <v>265</v>
      </c>
      <c r="J118" s="17"/>
      <c r="K118" s="17"/>
      <c r="L118" s="19">
        <v>1</v>
      </c>
      <c r="M118" s="19"/>
      <c r="N118" s="19"/>
      <c r="O118" s="19"/>
      <c r="P118" s="19"/>
      <c r="Q118" s="19"/>
      <c r="R118" s="19"/>
      <c r="S118" s="19">
        <f t="shared" si="35"/>
        <v>1</v>
      </c>
      <c r="T118" s="20">
        <v>2018</v>
      </c>
      <c r="V118" s="16"/>
      <c r="W118" s="16"/>
    </row>
    <row r="119" spans="1:23" ht="15">
      <c r="A119" s="17" t="s">
        <v>337</v>
      </c>
      <c r="B119" s="17">
        <v>1</v>
      </c>
      <c r="C119" s="17">
        <v>2</v>
      </c>
      <c r="D119" s="17">
        <v>1</v>
      </c>
      <c r="E119" s="17">
        <v>0</v>
      </c>
      <c r="F119" s="17">
        <v>7</v>
      </c>
      <c r="G119" s="17"/>
      <c r="H119" s="18" t="s">
        <v>18</v>
      </c>
      <c r="I119" s="91" t="s">
        <v>84</v>
      </c>
      <c r="J119" s="17"/>
      <c r="K119" s="17"/>
      <c r="L119" s="19"/>
      <c r="M119" s="19"/>
      <c r="N119" s="19"/>
      <c r="O119" s="19"/>
      <c r="P119" s="19">
        <v>185.8</v>
      </c>
      <c r="Q119" s="19"/>
      <c r="R119" s="19"/>
      <c r="S119" s="19">
        <f t="shared" si="35"/>
        <v>185.8</v>
      </c>
      <c r="T119" s="20">
        <v>2022</v>
      </c>
      <c r="V119" s="16"/>
      <c r="W119" s="16"/>
    </row>
    <row r="120" spans="1:23" ht="15">
      <c r="A120" s="17" t="s">
        <v>337</v>
      </c>
      <c r="B120" s="17">
        <v>1</v>
      </c>
      <c r="C120" s="17">
        <v>2</v>
      </c>
      <c r="D120" s="17">
        <v>1</v>
      </c>
      <c r="E120" s="17">
        <v>0</v>
      </c>
      <c r="F120" s="17">
        <v>7</v>
      </c>
      <c r="G120" s="17"/>
      <c r="H120" s="18" t="s">
        <v>319</v>
      </c>
      <c r="I120" s="91" t="s">
        <v>398</v>
      </c>
      <c r="J120" s="17"/>
      <c r="K120" s="17"/>
      <c r="L120" s="19"/>
      <c r="M120" s="19"/>
      <c r="N120" s="19"/>
      <c r="O120" s="19"/>
      <c r="P120" s="19"/>
      <c r="Q120" s="19">
        <v>2.916</v>
      </c>
      <c r="R120" s="19"/>
      <c r="S120" s="19">
        <f t="shared" si="35"/>
        <v>2.916</v>
      </c>
      <c r="T120" s="20">
        <v>2023</v>
      </c>
      <c r="V120" s="16"/>
      <c r="W120" s="16"/>
    </row>
    <row r="121" spans="1:23" ht="30">
      <c r="A121" s="17" t="s">
        <v>337</v>
      </c>
      <c r="B121" s="17">
        <v>1</v>
      </c>
      <c r="C121" s="17">
        <v>2</v>
      </c>
      <c r="D121" s="17">
        <v>1</v>
      </c>
      <c r="E121" s="17">
        <v>0</v>
      </c>
      <c r="F121" s="17">
        <v>7</v>
      </c>
      <c r="G121" s="17"/>
      <c r="H121" s="18" t="s">
        <v>445</v>
      </c>
      <c r="I121" s="91" t="s">
        <v>224</v>
      </c>
      <c r="J121" s="17"/>
      <c r="K121" s="17"/>
      <c r="L121" s="19"/>
      <c r="M121" s="19">
        <f>17.318+2.896+7.244+48.893+27.15</f>
        <v>103.501</v>
      </c>
      <c r="N121" s="19"/>
      <c r="O121" s="19"/>
      <c r="P121" s="19"/>
      <c r="Q121" s="19"/>
      <c r="R121" s="19"/>
      <c r="S121" s="19"/>
      <c r="T121" s="20"/>
      <c r="V121" s="16"/>
      <c r="W121" s="16"/>
    </row>
    <row r="122" spans="1:23" ht="45">
      <c r="A122" s="17" t="s">
        <v>337</v>
      </c>
      <c r="B122" s="17">
        <v>1</v>
      </c>
      <c r="C122" s="17">
        <v>2</v>
      </c>
      <c r="D122" s="17">
        <v>1</v>
      </c>
      <c r="E122" s="17">
        <v>0</v>
      </c>
      <c r="F122" s="17">
        <v>8</v>
      </c>
      <c r="G122" s="17">
        <v>3</v>
      </c>
      <c r="H122" s="18" t="s">
        <v>92</v>
      </c>
      <c r="I122" s="91" t="s">
        <v>264</v>
      </c>
      <c r="J122" s="21">
        <f>271.2+24847.8-8350.7</f>
        <v>16768.3</v>
      </c>
      <c r="K122" s="21">
        <f>8350.7+305.3</f>
        <v>8656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19">
        <f>SUM(J122:O122)</f>
        <v>25424.3</v>
      </c>
      <c r="T122" s="20">
        <v>2017</v>
      </c>
      <c r="V122" s="16"/>
      <c r="W122" s="16"/>
    </row>
    <row r="123" spans="1:23" ht="30">
      <c r="A123" s="17" t="s">
        <v>337</v>
      </c>
      <c r="B123" s="17">
        <v>1</v>
      </c>
      <c r="C123" s="17">
        <v>2</v>
      </c>
      <c r="D123" s="17">
        <v>1</v>
      </c>
      <c r="E123" s="17">
        <v>0</v>
      </c>
      <c r="F123" s="17">
        <v>8</v>
      </c>
      <c r="G123" s="17"/>
      <c r="H123" s="18" t="s">
        <v>104</v>
      </c>
      <c r="I123" s="27" t="s">
        <v>263</v>
      </c>
      <c r="J123" s="19">
        <v>1520</v>
      </c>
      <c r="K123" s="19"/>
      <c r="L123" s="19"/>
      <c r="M123" s="19"/>
      <c r="N123" s="19"/>
      <c r="O123" s="19"/>
      <c r="P123" s="19"/>
      <c r="Q123" s="19"/>
      <c r="R123" s="19"/>
      <c r="S123" s="19">
        <f>SUM(J123:O123)</f>
        <v>1520</v>
      </c>
      <c r="T123" s="20">
        <v>2016</v>
      </c>
      <c r="V123" s="16"/>
      <c r="W123" s="16"/>
    </row>
    <row r="124" spans="1:23" ht="30">
      <c r="A124" s="17" t="s">
        <v>337</v>
      </c>
      <c r="B124" s="17">
        <v>1</v>
      </c>
      <c r="C124" s="17">
        <v>2</v>
      </c>
      <c r="D124" s="17">
        <v>1</v>
      </c>
      <c r="E124" s="17">
        <v>0</v>
      </c>
      <c r="F124" s="17">
        <v>8</v>
      </c>
      <c r="G124" s="17"/>
      <c r="H124" s="18" t="s">
        <v>96</v>
      </c>
      <c r="I124" s="91" t="s">
        <v>265</v>
      </c>
      <c r="J124" s="28">
        <v>1</v>
      </c>
      <c r="K124" s="29"/>
      <c r="L124" s="29"/>
      <c r="M124" s="29"/>
      <c r="N124" s="29"/>
      <c r="O124" s="29"/>
      <c r="P124" s="29"/>
      <c r="Q124" s="29"/>
      <c r="R124" s="29"/>
      <c r="S124" s="29">
        <f>SUM(J124:O124)</f>
        <v>1</v>
      </c>
      <c r="T124" s="20">
        <v>2016</v>
      </c>
      <c r="V124" s="16"/>
      <c r="W124" s="16"/>
    </row>
    <row r="125" spans="1:23" ht="30">
      <c r="A125" s="17" t="s">
        <v>337</v>
      </c>
      <c r="B125" s="17">
        <v>1</v>
      </c>
      <c r="C125" s="17">
        <v>2</v>
      </c>
      <c r="D125" s="17">
        <v>1</v>
      </c>
      <c r="E125" s="17">
        <v>0</v>
      </c>
      <c r="F125" s="17">
        <v>8</v>
      </c>
      <c r="G125" s="17"/>
      <c r="H125" s="18" t="s">
        <v>345</v>
      </c>
      <c r="I125" s="91" t="s">
        <v>84</v>
      </c>
      <c r="J125" s="21"/>
      <c r="K125" s="19">
        <v>270</v>
      </c>
      <c r="L125" s="19"/>
      <c r="M125" s="19"/>
      <c r="N125" s="19"/>
      <c r="O125" s="19"/>
      <c r="P125" s="19"/>
      <c r="Q125" s="19"/>
      <c r="R125" s="19"/>
      <c r="S125" s="19">
        <f>SUM(J125:O125)</f>
        <v>270</v>
      </c>
      <c r="T125" s="20">
        <v>2017</v>
      </c>
      <c r="V125" s="16"/>
      <c r="W125" s="16"/>
    </row>
    <row r="126" spans="1:23" ht="30">
      <c r="A126" s="17" t="s">
        <v>337</v>
      </c>
      <c r="B126" s="17">
        <v>1</v>
      </c>
      <c r="C126" s="17">
        <v>2</v>
      </c>
      <c r="D126" s="17">
        <v>1</v>
      </c>
      <c r="E126" s="17">
        <v>0</v>
      </c>
      <c r="F126" s="17">
        <v>9</v>
      </c>
      <c r="G126" s="17">
        <v>3</v>
      </c>
      <c r="H126" s="18" t="s">
        <v>70</v>
      </c>
      <c r="I126" s="91" t="s">
        <v>264</v>
      </c>
      <c r="J126" s="21">
        <f>1993.1+7.4+0.1</f>
        <v>2000.6</v>
      </c>
      <c r="K126" s="21">
        <v>0</v>
      </c>
      <c r="L126" s="47">
        <v>369.8</v>
      </c>
      <c r="M126" s="21">
        <v>14205.1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19">
        <f>SUM(J126:R126)</f>
        <v>16575.5</v>
      </c>
      <c r="T126" s="20">
        <v>2019</v>
      </c>
      <c r="V126" s="16"/>
      <c r="W126" s="16"/>
    </row>
    <row r="127" spans="1:23" ht="15">
      <c r="A127" s="17" t="s">
        <v>337</v>
      </c>
      <c r="B127" s="17">
        <v>1</v>
      </c>
      <c r="C127" s="17">
        <v>2</v>
      </c>
      <c r="D127" s="17">
        <v>1</v>
      </c>
      <c r="E127" s="17">
        <v>0</v>
      </c>
      <c r="F127" s="17">
        <v>9</v>
      </c>
      <c r="G127" s="17"/>
      <c r="H127" s="18" t="s">
        <v>248</v>
      </c>
      <c r="I127" s="91" t="s">
        <v>93</v>
      </c>
      <c r="J127" s="17">
        <v>840</v>
      </c>
      <c r="K127" s="17"/>
      <c r="L127" s="47"/>
      <c r="M127" s="17">
        <f>378+178.9+630</f>
        <v>1186.9</v>
      </c>
      <c r="N127" s="17"/>
      <c r="O127" s="17"/>
      <c r="P127" s="17"/>
      <c r="Q127" s="17"/>
      <c r="R127" s="17"/>
      <c r="S127" s="19">
        <f>SUM(J127:R127)</f>
        <v>2026.9</v>
      </c>
      <c r="T127" s="20">
        <v>2019</v>
      </c>
      <c r="V127" s="16"/>
      <c r="W127" s="16"/>
    </row>
    <row r="128" spans="1:23" ht="15">
      <c r="A128" s="17" t="s">
        <v>337</v>
      </c>
      <c r="B128" s="17">
        <v>1</v>
      </c>
      <c r="C128" s="17">
        <v>2</v>
      </c>
      <c r="D128" s="17">
        <v>1</v>
      </c>
      <c r="E128" s="17">
        <v>0</v>
      </c>
      <c r="F128" s="17">
        <v>9</v>
      </c>
      <c r="G128" s="17"/>
      <c r="H128" s="18" t="s">
        <v>227</v>
      </c>
      <c r="I128" s="91" t="s">
        <v>265</v>
      </c>
      <c r="J128" s="56"/>
      <c r="K128" s="57"/>
      <c r="L128" s="47">
        <v>2</v>
      </c>
      <c r="M128" s="17">
        <v>1</v>
      </c>
      <c r="N128" s="17"/>
      <c r="O128" s="17"/>
      <c r="P128" s="17"/>
      <c r="Q128" s="17"/>
      <c r="R128" s="17"/>
      <c r="S128" s="19">
        <f>SUM(J128:R128)</f>
        <v>3</v>
      </c>
      <c r="T128" s="20">
        <v>2019</v>
      </c>
      <c r="V128" s="16"/>
      <c r="W128" s="16"/>
    </row>
    <row r="129" spans="1:23" ht="30">
      <c r="A129" s="17" t="s">
        <v>337</v>
      </c>
      <c r="B129" s="17">
        <v>1</v>
      </c>
      <c r="C129" s="17">
        <v>2</v>
      </c>
      <c r="D129" s="17">
        <v>1</v>
      </c>
      <c r="E129" s="17">
        <v>1</v>
      </c>
      <c r="F129" s="17">
        <v>0</v>
      </c>
      <c r="G129" s="17">
        <v>3</v>
      </c>
      <c r="H129" s="18" t="s">
        <v>79</v>
      </c>
      <c r="I129" s="91" t="s">
        <v>264</v>
      </c>
      <c r="J129" s="21">
        <v>550</v>
      </c>
      <c r="K129" s="21">
        <v>2250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  <c r="Q129" s="21">
        <v>0</v>
      </c>
      <c r="R129" s="21">
        <v>0</v>
      </c>
      <c r="S129" s="19">
        <f>SUM(J129:O129)</f>
        <v>2800</v>
      </c>
      <c r="T129" s="20">
        <v>2017</v>
      </c>
      <c r="V129" s="16"/>
      <c r="W129" s="16"/>
    </row>
    <row r="130" spans="1:23" ht="15">
      <c r="A130" s="17" t="s">
        <v>337</v>
      </c>
      <c r="B130" s="17">
        <v>1</v>
      </c>
      <c r="C130" s="17">
        <v>2</v>
      </c>
      <c r="D130" s="17">
        <v>1</v>
      </c>
      <c r="E130" s="17">
        <v>1</v>
      </c>
      <c r="F130" s="17">
        <v>0</v>
      </c>
      <c r="G130" s="17"/>
      <c r="H130" s="18" t="s">
        <v>33</v>
      </c>
      <c r="I130" s="91" t="s">
        <v>265</v>
      </c>
      <c r="J130" s="28">
        <v>1</v>
      </c>
      <c r="K130" s="28">
        <v>1</v>
      </c>
      <c r="L130" s="28"/>
      <c r="M130" s="28"/>
      <c r="N130" s="28"/>
      <c r="O130" s="28"/>
      <c r="P130" s="28"/>
      <c r="Q130" s="28"/>
      <c r="R130" s="28"/>
      <c r="S130" s="29">
        <f>SUM(J130:O130)</f>
        <v>2</v>
      </c>
      <c r="T130" s="20">
        <v>2017</v>
      </c>
      <c r="V130" s="16"/>
      <c r="W130" s="16"/>
    </row>
    <row r="131" spans="1:23" ht="45">
      <c r="A131" s="17" t="s">
        <v>337</v>
      </c>
      <c r="B131" s="17">
        <v>1</v>
      </c>
      <c r="C131" s="17">
        <v>2</v>
      </c>
      <c r="D131" s="17">
        <v>1</v>
      </c>
      <c r="E131" s="17">
        <v>1</v>
      </c>
      <c r="F131" s="17">
        <v>1</v>
      </c>
      <c r="G131" s="17"/>
      <c r="H131" s="18" t="s">
        <v>434</v>
      </c>
      <c r="I131" s="91" t="s">
        <v>264</v>
      </c>
      <c r="J131" s="8">
        <f aca="true" t="shared" si="37" ref="J131:S131">J133+J132</f>
        <v>9620.7</v>
      </c>
      <c r="K131" s="8">
        <f t="shared" si="37"/>
        <v>19487.100000000002</v>
      </c>
      <c r="L131" s="8">
        <f t="shared" si="37"/>
        <v>0</v>
      </c>
      <c r="M131" s="8">
        <f t="shared" si="37"/>
        <v>0</v>
      </c>
      <c r="N131" s="8">
        <f t="shared" si="37"/>
        <v>0</v>
      </c>
      <c r="O131" s="8">
        <f>O133+O132</f>
        <v>0</v>
      </c>
      <c r="P131" s="8">
        <f t="shared" si="37"/>
        <v>0</v>
      </c>
      <c r="Q131" s="8">
        <f t="shared" si="37"/>
        <v>0</v>
      </c>
      <c r="R131" s="8">
        <f t="shared" si="37"/>
        <v>0</v>
      </c>
      <c r="S131" s="8">
        <f t="shared" si="37"/>
        <v>29107.800000000003</v>
      </c>
      <c r="T131" s="20">
        <v>2017</v>
      </c>
      <c r="V131" s="16"/>
      <c r="W131" s="16"/>
    </row>
    <row r="132" spans="1:23" ht="15">
      <c r="A132" s="17" t="s">
        <v>337</v>
      </c>
      <c r="B132" s="17">
        <v>1</v>
      </c>
      <c r="C132" s="17">
        <v>2</v>
      </c>
      <c r="D132" s="17">
        <v>1</v>
      </c>
      <c r="E132" s="17">
        <v>1</v>
      </c>
      <c r="F132" s="17">
        <v>1</v>
      </c>
      <c r="G132" s="17">
        <v>2</v>
      </c>
      <c r="H132" s="18" t="s">
        <v>233</v>
      </c>
      <c r="I132" s="91" t="s">
        <v>264</v>
      </c>
      <c r="J132" s="8">
        <f>2000+3000</f>
        <v>5000</v>
      </c>
      <c r="K132" s="8"/>
      <c r="L132" s="8"/>
      <c r="M132" s="8"/>
      <c r="N132" s="8"/>
      <c r="O132" s="8"/>
      <c r="P132" s="8"/>
      <c r="Q132" s="8"/>
      <c r="R132" s="8"/>
      <c r="S132" s="19">
        <f aca="true" t="shared" si="38" ref="S132:S138">SUM(J132:O132)</f>
        <v>5000</v>
      </c>
      <c r="T132" s="20">
        <v>2016</v>
      </c>
      <c r="V132" s="16"/>
      <c r="W132" s="16"/>
    </row>
    <row r="133" spans="1:23" ht="15">
      <c r="A133" s="17" t="s">
        <v>337</v>
      </c>
      <c r="B133" s="17">
        <v>1</v>
      </c>
      <c r="C133" s="17">
        <v>2</v>
      </c>
      <c r="D133" s="17">
        <v>1</v>
      </c>
      <c r="E133" s="17">
        <v>1</v>
      </c>
      <c r="F133" s="17">
        <v>1</v>
      </c>
      <c r="G133" s="17">
        <v>3</v>
      </c>
      <c r="H133" s="18" t="s">
        <v>234</v>
      </c>
      <c r="I133" s="91" t="s">
        <v>264</v>
      </c>
      <c r="J133" s="8">
        <f>373.1+8479.9+118.4-20.9-4296-33.8</f>
        <v>4620.7</v>
      </c>
      <c r="K133" s="8">
        <f>22490.3-3745.1+549+192.9</f>
        <v>19487.100000000002</v>
      </c>
      <c r="L133" s="8"/>
      <c r="M133" s="8"/>
      <c r="N133" s="8"/>
      <c r="O133" s="8"/>
      <c r="P133" s="8"/>
      <c r="Q133" s="8"/>
      <c r="R133" s="8"/>
      <c r="S133" s="19">
        <f t="shared" si="38"/>
        <v>24107.800000000003</v>
      </c>
      <c r="T133" s="20">
        <v>2017</v>
      </c>
      <c r="V133" s="16"/>
      <c r="W133" s="16"/>
    </row>
    <row r="134" spans="1:23" ht="15">
      <c r="A134" s="17" t="s">
        <v>337</v>
      </c>
      <c r="B134" s="17">
        <v>1</v>
      </c>
      <c r="C134" s="17">
        <v>2</v>
      </c>
      <c r="D134" s="17">
        <v>1</v>
      </c>
      <c r="E134" s="17">
        <v>1</v>
      </c>
      <c r="F134" s="17">
        <v>1</v>
      </c>
      <c r="G134" s="17"/>
      <c r="H134" s="18" t="s">
        <v>33</v>
      </c>
      <c r="I134" s="91" t="s">
        <v>265</v>
      </c>
      <c r="J134" s="58">
        <v>1</v>
      </c>
      <c r="K134" s="58"/>
      <c r="L134" s="58"/>
      <c r="M134" s="58"/>
      <c r="N134" s="58"/>
      <c r="O134" s="58"/>
      <c r="P134" s="58"/>
      <c r="Q134" s="58"/>
      <c r="R134" s="58"/>
      <c r="S134" s="29">
        <f t="shared" si="38"/>
        <v>1</v>
      </c>
      <c r="T134" s="20">
        <v>2016</v>
      </c>
      <c r="V134" s="16"/>
      <c r="W134" s="16"/>
    </row>
    <row r="135" spans="1:23" ht="15">
      <c r="A135" s="17" t="s">
        <v>337</v>
      </c>
      <c r="B135" s="17">
        <v>1</v>
      </c>
      <c r="C135" s="17">
        <v>2</v>
      </c>
      <c r="D135" s="17">
        <v>1</v>
      </c>
      <c r="E135" s="17">
        <v>1</v>
      </c>
      <c r="F135" s="17">
        <v>1</v>
      </c>
      <c r="G135" s="17"/>
      <c r="H135" s="18" t="s">
        <v>34</v>
      </c>
      <c r="I135" s="91" t="s">
        <v>93</v>
      </c>
      <c r="J135" s="26">
        <v>426.8</v>
      </c>
      <c r="K135" s="26"/>
      <c r="L135" s="19"/>
      <c r="M135" s="26"/>
      <c r="N135" s="26"/>
      <c r="O135" s="26"/>
      <c r="P135" s="26"/>
      <c r="Q135" s="26"/>
      <c r="R135" s="26"/>
      <c r="S135" s="19">
        <f t="shared" si="38"/>
        <v>426.8</v>
      </c>
      <c r="T135" s="20">
        <v>2016</v>
      </c>
      <c r="V135" s="16"/>
      <c r="W135" s="16"/>
    </row>
    <row r="136" spans="1:23" ht="30">
      <c r="A136" s="17" t="s">
        <v>337</v>
      </c>
      <c r="B136" s="17">
        <v>1</v>
      </c>
      <c r="C136" s="17">
        <v>2</v>
      </c>
      <c r="D136" s="17">
        <v>1</v>
      </c>
      <c r="E136" s="17">
        <v>1</v>
      </c>
      <c r="F136" s="17">
        <v>1</v>
      </c>
      <c r="G136" s="17"/>
      <c r="H136" s="18" t="s">
        <v>277</v>
      </c>
      <c r="I136" s="27" t="s">
        <v>263</v>
      </c>
      <c r="J136" s="26"/>
      <c r="K136" s="26">
        <v>5739.81</v>
      </c>
      <c r="L136" s="19"/>
      <c r="M136" s="26"/>
      <c r="N136" s="26"/>
      <c r="O136" s="26"/>
      <c r="P136" s="26"/>
      <c r="Q136" s="26"/>
      <c r="R136" s="26"/>
      <c r="S136" s="19">
        <f t="shared" si="38"/>
        <v>5739.81</v>
      </c>
      <c r="T136" s="20">
        <v>2017</v>
      </c>
      <c r="V136" s="16"/>
      <c r="W136" s="16"/>
    </row>
    <row r="137" spans="1:23" ht="30">
      <c r="A137" s="17" t="s">
        <v>337</v>
      </c>
      <c r="B137" s="17">
        <v>1</v>
      </c>
      <c r="C137" s="17">
        <v>2</v>
      </c>
      <c r="D137" s="17">
        <v>1</v>
      </c>
      <c r="E137" s="17">
        <v>1</v>
      </c>
      <c r="F137" s="17">
        <v>2</v>
      </c>
      <c r="G137" s="17">
        <v>3</v>
      </c>
      <c r="H137" s="18" t="s">
        <v>388</v>
      </c>
      <c r="I137" s="91" t="s">
        <v>264</v>
      </c>
      <c r="J137" s="8">
        <f>100-54.9</f>
        <v>45.1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19">
        <f>SUM(J137:R137)</f>
        <v>45.1</v>
      </c>
      <c r="T137" s="20">
        <v>2016</v>
      </c>
      <c r="V137" s="16"/>
      <c r="W137" s="16"/>
    </row>
    <row r="138" spans="1:23" ht="15">
      <c r="A138" s="17" t="s">
        <v>337</v>
      </c>
      <c r="B138" s="17">
        <v>1</v>
      </c>
      <c r="C138" s="17">
        <v>2</v>
      </c>
      <c r="D138" s="17">
        <v>1</v>
      </c>
      <c r="E138" s="17">
        <v>1</v>
      </c>
      <c r="F138" s="17">
        <v>2</v>
      </c>
      <c r="G138" s="17"/>
      <c r="H138" s="18" t="s">
        <v>69</v>
      </c>
      <c r="I138" s="27" t="s">
        <v>265</v>
      </c>
      <c r="J138" s="29">
        <v>1</v>
      </c>
      <c r="K138" s="29"/>
      <c r="L138" s="29"/>
      <c r="M138" s="29"/>
      <c r="N138" s="29"/>
      <c r="O138" s="29"/>
      <c r="P138" s="29"/>
      <c r="Q138" s="29"/>
      <c r="R138" s="29"/>
      <c r="S138" s="29">
        <f t="shared" si="38"/>
        <v>1</v>
      </c>
      <c r="T138" s="20">
        <v>2016</v>
      </c>
      <c r="V138" s="16"/>
      <c r="W138" s="16"/>
    </row>
    <row r="139" spans="1:23" ht="30">
      <c r="A139" s="17" t="s">
        <v>337</v>
      </c>
      <c r="B139" s="17">
        <v>1</v>
      </c>
      <c r="C139" s="17">
        <v>2</v>
      </c>
      <c r="D139" s="17">
        <v>1</v>
      </c>
      <c r="E139" s="17">
        <v>1</v>
      </c>
      <c r="F139" s="17">
        <v>3</v>
      </c>
      <c r="G139" s="17">
        <v>3</v>
      </c>
      <c r="H139" s="18" t="s">
        <v>387</v>
      </c>
      <c r="I139" s="91" t="s">
        <v>264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81000</v>
      </c>
      <c r="S139" s="19">
        <f>SUM(J139:R139)</f>
        <v>81000</v>
      </c>
      <c r="T139" s="20">
        <v>2024</v>
      </c>
      <c r="V139" s="16"/>
      <c r="W139" s="16"/>
    </row>
    <row r="140" spans="1:23" ht="30">
      <c r="A140" s="17" t="s">
        <v>337</v>
      </c>
      <c r="B140" s="17">
        <v>1</v>
      </c>
      <c r="C140" s="17">
        <v>2</v>
      </c>
      <c r="D140" s="17">
        <v>1</v>
      </c>
      <c r="E140" s="17">
        <v>1</v>
      </c>
      <c r="F140" s="17">
        <v>3</v>
      </c>
      <c r="G140" s="17"/>
      <c r="H140" s="18" t="s">
        <v>295</v>
      </c>
      <c r="I140" s="27" t="s">
        <v>398</v>
      </c>
      <c r="J140" s="26"/>
      <c r="K140" s="26"/>
      <c r="L140" s="19"/>
      <c r="M140" s="26"/>
      <c r="N140" s="26"/>
      <c r="O140" s="19"/>
      <c r="P140" s="26"/>
      <c r="Q140" s="26"/>
      <c r="R140" s="26">
        <v>1.4</v>
      </c>
      <c r="S140" s="19">
        <f>SUM(J140:R140)</f>
        <v>1.4</v>
      </c>
      <c r="T140" s="20">
        <v>2024</v>
      </c>
      <c r="V140" s="16"/>
      <c r="W140" s="16"/>
    </row>
    <row r="141" spans="1:23" ht="45">
      <c r="A141" s="17" t="s">
        <v>337</v>
      </c>
      <c r="B141" s="17">
        <v>1</v>
      </c>
      <c r="C141" s="17">
        <v>2</v>
      </c>
      <c r="D141" s="17">
        <v>1</v>
      </c>
      <c r="E141" s="17">
        <v>1</v>
      </c>
      <c r="F141" s="17">
        <v>4</v>
      </c>
      <c r="G141" s="17">
        <v>3</v>
      </c>
      <c r="H141" s="18" t="s">
        <v>435</v>
      </c>
      <c r="I141" s="91" t="s">
        <v>264</v>
      </c>
      <c r="J141" s="21">
        <f>1247</f>
        <v>1247</v>
      </c>
      <c r="K141" s="21">
        <f>2000-2000</f>
        <v>0</v>
      </c>
      <c r="L141" s="21">
        <f>2000-2000</f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19">
        <f>SUM(J141:O141)</f>
        <v>1247</v>
      </c>
      <c r="T141" s="20">
        <v>2016</v>
      </c>
      <c r="V141" s="16"/>
      <c r="W141" s="16"/>
    </row>
    <row r="142" spans="1:23" ht="15">
      <c r="A142" s="17" t="s">
        <v>337</v>
      </c>
      <c r="B142" s="17">
        <v>1</v>
      </c>
      <c r="C142" s="17">
        <v>2</v>
      </c>
      <c r="D142" s="17">
        <v>1</v>
      </c>
      <c r="E142" s="17">
        <v>1</v>
      </c>
      <c r="F142" s="17">
        <v>4</v>
      </c>
      <c r="G142" s="17"/>
      <c r="H142" s="18" t="s">
        <v>33</v>
      </c>
      <c r="I142" s="91" t="s">
        <v>265</v>
      </c>
      <c r="J142" s="28">
        <v>1</v>
      </c>
      <c r="K142" s="28"/>
      <c r="L142" s="28"/>
      <c r="M142" s="28"/>
      <c r="N142" s="28"/>
      <c r="O142" s="28"/>
      <c r="P142" s="28"/>
      <c r="Q142" s="28"/>
      <c r="R142" s="28"/>
      <c r="S142" s="29">
        <f>SUM(J142:O142)</f>
        <v>1</v>
      </c>
      <c r="T142" s="20">
        <v>2016</v>
      </c>
      <c r="V142" s="16"/>
      <c r="W142" s="16"/>
    </row>
    <row r="143" spans="1:23" ht="30">
      <c r="A143" s="17" t="s">
        <v>337</v>
      </c>
      <c r="B143" s="17">
        <v>1</v>
      </c>
      <c r="C143" s="17">
        <v>2</v>
      </c>
      <c r="D143" s="17">
        <v>1</v>
      </c>
      <c r="E143" s="17">
        <v>1</v>
      </c>
      <c r="F143" s="17">
        <v>5</v>
      </c>
      <c r="G143" s="17">
        <v>3</v>
      </c>
      <c r="H143" s="18" t="s">
        <v>250</v>
      </c>
      <c r="I143" s="91" t="s">
        <v>264</v>
      </c>
      <c r="J143" s="21">
        <v>0</v>
      </c>
      <c r="K143" s="21">
        <f>10000-10000</f>
        <v>0</v>
      </c>
      <c r="L143" s="21">
        <v>0</v>
      </c>
      <c r="M143" s="21">
        <f>4000-4000</f>
        <v>0</v>
      </c>
      <c r="N143" s="21">
        <v>0</v>
      </c>
      <c r="O143" s="21">
        <v>0</v>
      </c>
      <c r="P143" s="21">
        <f>4000-4000</f>
        <v>0</v>
      </c>
      <c r="Q143" s="21">
        <v>0</v>
      </c>
      <c r="R143" s="21">
        <f>14000</f>
        <v>14000</v>
      </c>
      <c r="S143" s="19">
        <f>SUM(J143:R143)</f>
        <v>14000</v>
      </c>
      <c r="T143" s="20">
        <v>2024</v>
      </c>
      <c r="V143" s="16"/>
      <c r="W143" s="16"/>
    </row>
    <row r="144" spans="1:23" ht="15">
      <c r="A144" s="17" t="s">
        <v>337</v>
      </c>
      <c r="B144" s="17">
        <v>1</v>
      </c>
      <c r="C144" s="17">
        <v>2</v>
      </c>
      <c r="D144" s="17">
        <v>1</v>
      </c>
      <c r="E144" s="17">
        <v>1</v>
      </c>
      <c r="F144" s="17">
        <v>5</v>
      </c>
      <c r="G144" s="17"/>
      <c r="H144" s="18" t="s">
        <v>249</v>
      </c>
      <c r="I144" s="91" t="s">
        <v>93</v>
      </c>
      <c r="J144" s="57"/>
      <c r="K144" s="57"/>
      <c r="L144" s="47"/>
      <c r="M144" s="59"/>
      <c r="N144" s="17"/>
      <c r="O144" s="47"/>
      <c r="P144" s="59"/>
      <c r="Q144" s="17"/>
      <c r="R144" s="17">
        <f>384.14+147.86</f>
        <v>532</v>
      </c>
      <c r="S144" s="19">
        <f>SUM(J144:R144)</f>
        <v>532</v>
      </c>
      <c r="T144" s="20">
        <v>2024</v>
      </c>
      <c r="V144" s="16"/>
      <c r="W144" s="16"/>
    </row>
    <row r="145" spans="1:23" ht="57" customHeight="1">
      <c r="A145" s="17" t="s">
        <v>337</v>
      </c>
      <c r="B145" s="17">
        <v>1</v>
      </c>
      <c r="C145" s="17">
        <v>2</v>
      </c>
      <c r="D145" s="17">
        <v>1</v>
      </c>
      <c r="E145" s="17">
        <v>1</v>
      </c>
      <c r="F145" s="17">
        <v>6</v>
      </c>
      <c r="G145" s="17">
        <v>3</v>
      </c>
      <c r="H145" s="18" t="s">
        <v>436</v>
      </c>
      <c r="I145" s="91" t="s">
        <v>264</v>
      </c>
      <c r="J145" s="21">
        <v>0</v>
      </c>
      <c r="K145" s="21">
        <v>2350</v>
      </c>
      <c r="L145" s="21">
        <v>2350</v>
      </c>
      <c r="M145" s="21">
        <v>0</v>
      </c>
      <c r="N145" s="21">
        <v>1500</v>
      </c>
      <c r="O145" s="21">
        <v>3000</v>
      </c>
      <c r="P145" s="21">
        <v>13400</v>
      </c>
      <c r="Q145" s="21">
        <v>0</v>
      </c>
      <c r="R145" s="21">
        <v>0</v>
      </c>
      <c r="S145" s="19">
        <f>SUM(J145:R145)</f>
        <v>22600</v>
      </c>
      <c r="T145" s="20">
        <v>2022</v>
      </c>
      <c r="V145" s="16"/>
      <c r="W145" s="16"/>
    </row>
    <row r="146" spans="1:23" ht="15">
      <c r="A146" s="17" t="s">
        <v>337</v>
      </c>
      <c r="B146" s="17">
        <v>1</v>
      </c>
      <c r="C146" s="17">
        <v>2</v>
      </c>
      <c r="D146" s="17">
        <v>1</v>
      </c>
      <c r="E146" s="17">
        <v>1</v>
      </c>
      <c r="F146" s="17">
        <v>6</v>
      </c>
      <c r="G146" s="17"/>
      <c r="H146" s="18" t="s">
        <v>426</v>
      </c>
      <c r="I146" s="91" t="s">
        <v>265</v>
      </c>
      <c r="J146" s="60"/>
      <c r="K146" s="60">
        <v>1</v>
      </c>
      <c r="L146" s="60">
        <v>1</v>
      </c>
      <c r="M146" s="68"/>
      <c r="N146" s="29"/>
      <c r="O146" s="29"/>
      <c r="P146" s="29"/>
      <c r="Q146" s="29"/>
      <c r="R146" s="29"/>
      <c r="S146" s="29">
        <v>2</v>
      </c>
      <c r="T146" s="20">
        <v>2018</v>
      </c>
      <c r="V146" s="16"/>
      <c r="W146" s="16"/>
    </row>
    <row r="147" spans="1:23" ht="30">
      <c r="A147" s="17" t="s">
        <v>337</v>
      </c>
      <c r="B147" s="17">
        <v>1</v>
      </c>
      <c r="C147" s="17">
        <v>2</v>
      </c>
      <c r="D147" s="17">
        <v>1</v>
      </c>
      <c r="E147" s="17">
        <v>1</v>
      </c>
      <c r="F147" s="17">
        <v>6</v>
      </c>
      <c r="G147" s="17"/>
      <c r="H147" s="18" t="s">
        <v>322</v>
      </c>
      <c r="I147" s="91" t="s">
        <v>224</v>
      </c>
      <c r="J147" s="60"/>
      <c r="K147" s="60"/>
      <c r="L147" s="60"/>
      <c r="M147" s="68"/>
      <c r="N147" s="19">
        <v>9.3</v>
      </c>
      <c r="O147" s="19">
        <v>9.2</v>
      </c>
      <c r="P147" s="29"/>
      <c r="Q147" s="29"/>
      <c r="R147" s="29"/>
      <c r="S147" s="19">
        <f>SUM(J147:R147)</f>
        <v>18.5</v>
      </c>
      <c r="T147" s="20">
        <v>2021</v>
      </c>
      <c r="V147" s="16"/>
      <c r="W147" s="16"/>
    </row>
    <row r="148" spans="1:23" ht="30">
      <c r="A148" s="17" t="s">
        <v>337</v>
      </c>
      <c r="B148" s="17">
        <v>1</v>
      </c>
      <c r="C148" s="17">
        <v>2</v>
      </c>
      <c r="D148" s="17">
        <v>1</v>
      </c>
      <c r="E148" s="17">
        <v>1</v>
      </c>
      <c r="F148" s="17">
        <v>6</v>
      </c>
      <c r="G148" s="17"/>
      <c r="H148" s="18" t="s">
        <v>320</v>
      </c>
      <c r="I148" s="91" t="s">
        <v>398</v>
      </c>
      <c r="J148" s="60"/>
      <c r="K148" s="60"/>
      <c r="L148" s="60"/>
      <c r="M148" s="68"/>
      <c r="N148" s="29"/>
      <c r="O148" s="29"/>
      <c r="P148" s="19">
        <v>1.9</v>
      </c>
      <c r="Q148" s="29"/>
      <c r="R148" s="29"/>
      <c r="S148" s="19">
        <f>SUM(J148:R148)</f>
        <v>1.9</v>
      </c>
      <c r="T148" s="20">
        <v>2022</v>
      </c>
      <c r="V148" s="16"/>
      <c r="W148" s="16"/>
    </row>
    <row r="149" spans="1:23" ht="30">
      <c r="A149" s="17" t="s">
        <v>337</v>
      </c>
      <c r="B149" s="17">
        <v>1</v>
      </c>
      <c r="C149" s="17">
        <v>2</v>
      </c>
      <c r="D149" s="17">
        <v>1</v>
      </c>
      <c r="E149" s="17">
        <v>1</v>
      </c>
      <c r="F149" s="17">
        <v>7</v>
      </c>
      <c r="G149" s="17">
        <v>3</v>
      </c>
      <c r="H149" s="18" t="s">
        <v>9</v>
      </c>
      <c r="I149" s="91" t="s">
        <v>264</v>
      </c>
      <c r="J149" s="21">
        <f>121.5-0.1</f>
        <v>121.4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  <c r="Q149" s="21">
        <v>0</v>
      </c>
      <c r="R149" s="21">
        <v>0</v>
      </c>
      <c r="S149" s="19">
        <f>SUM(J149:R149)</f>
        <v>121.4</v>
      </c>
      <c r="T149" s="20">
        <v>2016</v>
      </c>
      <c r="V149" s="16"/>
      <c r="W149" s="16"/>
    </row>
    <row r="150" spans="1:23" ht="30">
      <c r="A150" s="17" t="s">
        <v>337</v>
      </c>
      <c r="B150" s="17">
        <v>1</v>
      </c>
      <c r="C150" s="17">
        <v>2</v>
      </c>
      <c r="D150" s="17">
        <v>1</v>
      </c>
      <c r="E150" s="17">
        <v>1</v>
      </c>
      <c r="F150" s="17">
        <v>7</v>
      </c>
      <c r="G150" s="17"/>
      <c r="H150" s="18" t="s">
        <v>178</v>
      </c>
      <c r="I150" s="91" t="s">
        <v>265</v>
      </c>
      <c r="J150" s="60">
        <v>2</v>
      </c>
      <c r="K150" s="60"/>
      <c r="L150" s="60"/>
      <c r="M150" s="68"/>
      <c r="N150" s="29"/>
      <c r="O150" s="29"/>
      <c r="P150" s="29"/>
      <c r="Q150" s="29"/>
      <c r="R150" s="29"/>
      <c r="S150" s="29">
        <f>SUM(J150:O150)</f>
        <v>2</v>
      </c>
      <c r="T150" s="20">
        <v>2016</v>
      </c>
      <c r="V150" s="16"/>
      <c r="W150" s="16"/>
    </row>
    <row r="151" spans="1:23" ht="60">
      <c r="A151" s="17" t="s">
        <v>337</v>
      </c>
      <c r="B151" s="17">
        <v>1</v>
      </c>
      <c r="C151" s="17">
        <v>2</v>
      </c>
      <c r="D151" s="17">
        <v>1</v>
      </c>
      <c r="E151" s="17">
        <v>1</v>
      </c>
      <c r="F151" s="17">
        <v>8</v>
      </c>
      <c r="G151" s="17">
        <v>3</v>
      </c>
      <c r="H151" s="18" t="s">
        <v>437</v>
      </c>
      <c r="I151" s="91" t="s">
        <v>264</v>
      </c>
      <c r="J151" s="21">
        <v>0</v>
      </c>
      <c r="K151" s="21">
        <v>0</v>
      </c>
      <c r="L151" s="21">
        <v>0</v>
      </c>
      <c r="M151" s="21">
        <v>0</v>
      </c>
      <c r="N151" s="21">
        <v>1500</v>
      </c>
      <c r="O151" s="21">
        <v>3000</v>
      </c>
      <c r="P151" s="21">
        <v>67600</v>
      </c>
      <c r="Q151" s="21">
        <v>0</v>
      </c>
      <c r="R151" s="21">
        <v>0</v>
      </c>
      <c r="S151" s="19">
        <f aca="true" t="shared" si="39" ref="S151:S157">SUM(J151:R151)</f>
        <v>72100</v>
      </c>
      <c r="T151" s="20">
        <v>2022</v>
      </c>
      <c r="V151" s="16"/>
      <c r="W151" s="16"/>
    </row>
    <row r="152" spans="1:23" ht="15">
      <c r="A152" s="17" t="s">
        <v>337</v>
      </c>
      <c r="B152" s="17">
        <v>1</v>
      </c>
      <c r="C152" s="17">
        <v>2</v>
      </c>
      <c r="D152" s="17">
        <v>1</v>
      </c>
      <c r="E152" s="17">
        <v>1</v>
      </c>
      <c r="F152" s="17">
        <v>8</v>
      </c>
      <c r="G152" s="17"/>
      <c r="H152" s="18" t="s">
        <v>369</v>
      </c>
      <c r="I152" s="91" t="s">
        <v>265</v>
      </c>
      <c r="J152" s="47"/>
      <c r="K152" s="47"/>
      <c r="L152" s="47"/>
      <c r="M152" s="86"/>
      <c r="N152" s="21">
        <v>1</v>
      </c>
      <c r="O152" s="21"/>
      <c r="P152" s="21"/>
      <c r="Q152" s="21"/>
      <c r="R152" s="21"/>
      <c r="S152" s="19">
        <f t="shared" si="39"/>
        <v>1</v>
      </c>
      <c r="T152" s="20">
        <v>2020</v>
      </c>
      <c r="V152" s="16"/>
      <c r="W152" s="16"/>
    </row>
    <row r="153" spans="1:23" ht="15">
      <c r="A153" s="17" t="s">
        <v>337</v>
      </c>
      <c r="B153" s="17">
        <v>1</v>
      </c>
      <c r="C153" s="17">
        <v>2</v>
      </c>
      <c r="D153" s="17">
        <v>1</v>
      </c>
      <c r="E153" s="17">
        <v>1</v>
      </c>
      <c r="F153" s="17">
        <v>8</v>
      </c>
      <c r="G153" s="17"/>
      <c r="H153" s="18" t="s">
        <v>370</v>
      </c>
      <c r="I153" s="91" t="s">
        <v>265</v>
      </c>
      <c r="J153" s="60"/>
      <c r="K153" s="60"/>
      <c r="L153" s="60"/>
      <c r="M153" s="68"/>
      <c r="N153" s="29"/>
      <c r="O153" s="29">
        <v>3</v>
      </c>
      <c r="P153" s="29"/>
      <c r="Q153" s="29"/>
      <c r="R153" s="29"/>
      <c r="S153" s="19">
        <f t="shared" si="39"/>
        <v>3</v>
      </c>
      <c r="T153" s="20">
        <v>2021</v>
      </c>
      <c r="V153" s="16"/>
      <c r="W153" s="16"/>
    </row>
    <row r="154" spans="1:23" ht="30">
      <c r="A154" s="17" t="s">
        <v>337</v>
      </c>
      <c r="B154" s="17">
        <v>1</v>
      </c>
      <c r="C154" s="17">
        <v>2</v>
      </c>
      <c r="D154" s="17">
        <v>1</v>
      </c>
      <c r="E154" s="17">
        <v>1</v>
      </c>
      <c r="F154" s="17">
        <v>8</v>
      </c>
      <c r="G154" s="17"/>
      <c r="H154" s="18" t="s">
        <v>371</v>
      </c>
      <c r="I154" s="91" t="s">
        <v>321</v>
      </c>
      <c r="J154" s="56"/>
      <c r="K154" s="57"/>
      <c r="L154" s="47"/>
      <c r="M154" s="59"/>
      <c r="N154" s="17"/>
      <c r="O154" s="29"/>
      <c r="P154" s="29">
        <v>3</v>
      </c>
      <c r="Q154" s="29"/>
      <c r="R154" s="29"/>
      <c r="S154" s="19">
        <f t="shared" si="39"/>
        <v>3</v>
      </c>
      <c r="T154" s="20">
        <v>2022</v>
      </c>
      <c r="V154" s="16"/>
      <c r="W154" s="16"/>
    </row>
    <row r="155" spans="1:23" ht="45">
      <c r="A155" s="17" t="s">
        <v>337</v>
      </c>
      <c r="B155" s="17">
        <v>1</v>
      </c>
      <c r="C155" s="17">
        <v>2</v>
      </c>
      <c r="D155" s="17">
        <v>1</v>
      </c>
      <c r="E155" s="17">
        <v>1</v>
      </c>
      <c r="F155" s="17">
        <v>9</v>
      </c>
      <c r="G155" s="17">
        <v>3</v>
      </c>
      <c r="H155" s="18" t="s">
        <v>451</v>
      </c>
      <c r="I155" s="91" t="s">
        <v>264</v>
      </c>
      <c r="J155" s="8">
        <f>J156</f>
        <v>0</v>
      </c>
      <c r="K155" s="8">
        <f>K156</f>
        <v>0</v>
      </c>
      <c r="L155" s="8">
        <v>0</v>
      </c>
      <c r="M155" s="8">
        <f>M156</f>
        <v>0</v>
      </c>
      <c r="N155" s="8">
        <f>N156</f>
        <v>0</v>
      </c>
      <c r="O155" s="21">
        <v>0</v>
      </c>
      <c r="P155" s="21">
        <v>10000</v>
      </c>
      <c r="Q155" s="21">
        <v>28800</v>
      </c>
      <c r="R155" s="21">
        <v>0</v>
      </c>
      <c r="S155" s="19">
        <f t="shared" si="39"/>
        <v>38800</v>
      </c>
      <c r="T155" s="20">
        <v>2023</v>
      </c>
      <c r="V155" s="16"/>
      <c r="W155" s="16"/>
    </row>
    <row r="156" spans="1:23" ht="30">
      <c r="A156" s="17" t="s">
        <v>337</v>
      </c>
      <c r="B156" s="17">
        <v>1</v>
      </c>
      <c r="C156" s="17">
        <v>2</v>
      </c>
      <c r="D156" s="17">
        <v>1</v>
      </c>
      <c r="E156" s="17">
        <v>1</v>
      </c>
      <c r="F156" s="17">
        <v>9</v>
      </c>
      <c r="G156" s="17"/>
      <c r="H156" s="18" t="s">
        <v>404</v>
      </c>
      <c r="I156" s="91" t="s">
        <v>263</v>
      </c>
      <c r="J156" s="56"/>
      <c r="K156" s="57"/>
      <c r="L156" s="47"/>
      <c r="M156" s="59"/>
      <c r="N156" s="17"/>
      <c r="O156" s="19"/>
      <c r="P156" s="19">
        <v>1868</v>
      </c>
      <c r="Q156" s="19"/>
      <c r="R156" s="19"/>
      <c r="S156" s="19">
        <f t="shared" si="39"/>
        <v>1868</v>
      </c>
      <c r="T156" s="20">
        <v>2022</v>
      </c>
      <c r="V156" s="16"/>
      <c r="W156" s="16"/>
    </row>
    <row r="157" spans="1:23" ht="30">
      <c r="A157" s="17" t="s">
        <v>337</v>
      </c>
      <c r="B157" s="17">
        <v>1</v>
      </c>
      <c r="C157" s="17">
        <v>2</v>
      </c>
      <c r="D157" s="17">
        <v>1</v>
      </c>
      <c r="E157" s="17">
        <v>1</v>
      </c>
      <c r="F157" s="17">
        <v>9</v>
      </c>
      <c r="G157" s="17"/>
      <c r="H157" s="18" t="s">
        <v>323</v>
      </c>
      <c r="I157" s="91" t="s">
        <v>398</v>
      </c>
      <c r="J157" s="56"/>
      <c r="K157" s="57"/>
      <c r="L157" s="47"/>
      <c r="M157" s="59"/>
      <c r="N157" s="17"/>
      <c r="O157" s="19"/>
      <c r="P157" s="19"/>
      <c r="Q157" s="19">
        <v>2.9</v>
      </c>
      <c r="R157" s="19"/>
      <c r="S157" s="19">
        <f t="shared" si="39"/>
        <v>2.9</v>
      </c>
      <c r="T157" s="20">
        <v>2023</v>
      </c>
      <c r="V157" s="16"/>
      <c r="W157" s="16"/>
    </row>
    <row r="158" spans="1:23" ht="30">
      <c r="A158" s="17" t="s">
        <v>337</v>
      </c>
      <c r="B158" s="17">
        <v>1</v>
      </c>
      <c r="C158" s="17">
        <v>2</v>
      </c>
      <c r="D158" s="17">
        <v>1</v>
      </c>
      <c r="E158" s="17">
        <v>2</v>
      </c>
      <c r="F158" s="17">
        <v>0</v>
      </c>
      <c r="G158" s="17">
        <v>3</v>
      </c>
      <c r="H158" s="18" t="s">
        <v>440</v>
      </c>
      <c r="I158" s="91" t="s">
        <v>264</v>
      </c>
      <c r="J158" s="8">
        <f>J159</f>
        <v>0</v>
      </c>
      <c r="K158" s="8">
        <v>4838</v>
      </c>
      <c r="L158" s="8"/>
      <c r="M158" s="8">
        <v>34015.4</v>
      </c>
      <c r="N158" s="8">
        <v>29257.3</v>
      </c>
      <c r="O158" s="8"/>
      <c r="P158" s="8"/>
      <c r="Q158" s="8"/>
      <c r="R158" s="8"/>
      <c r="S158" s="19">
        <f>SUM(J158:O158)</f>
        <v>68110.7</v>
      </c>
      <c r="T158" s="20">
        <v>2020</v>
      </c>
      <c r="V158" s="16"/>
      <c r="W158" s="16"/>
    </row>
    <row r="159" spans="1:23" ht="15">
      <c r="A159" s="17" t="s">
        <v>337</v>
      </c>
      <c r="B159" s="17">
        <v>1</v>
      </c>
      <c r="C159" s="17">
        <v>2</v>
      </c>
      <c r="D159" s="17">
        <v>1</v>
      </c>
      <c r="E159" s="17">
        <v>2</v>
      </c>
      <c r="F159" s="17">
        <v>0</v>
      </c>
      <c r="G159" s="17"/>
      <c r="H159" s="18" t="s">
        <v>73</v>
      </c>
      <c r="I159" s="91" t="s">
        <v>84</v>
      </c>
      <c r="J159" s="56"/>
      <c r="K159" s="57">
        <v>226</v>
      </c>
      <c r="L159" s="47"/>
      <c r="M159" s="59">
        <f>660*0.8</f>
        <v>528</v>
      </c>
      <c r="N159" s="17"/>
      <c r="O159" s="19"/>
      <c r="P159" s="19"/>
      <c r="Q159" s="19"/>
      <c r="R159" s="19"/>
      <c r="S159" s="19">
        <f>SUM(J159:O159)</f>
        <v>754</v>
      </c>
      <c r="T159" s="20">
        <v>2019</v>
      </c>
      <c r="V159" s="16"/>
      <c r="W159" s="16"/>
    </row>
    <row r="160" spans="1:23" ht="30">
      <c r="A160" s="17" t="s">
        <v>337</v>
      </c>
      <c r="B160" s="17">
        <v>1</v>
      </c>
      <c r="C160" s="17">
        <v>2</v>
      </c>
      <c r="D160" s="17">
        <v>1</v>
      </c>
      <c r="E160" s="17">
        <v>2</v>
      </c>
      <c r="F160" s="17">
        <v>0</v>
      </c>
      <c r="G160" s="17"/>
      <c r="H160" s="18" t="s">
        <v>372</v>
      </c>
      <c r="I160" s="91" t="s">
        <v>265</v>
      </c>
      <c r="J160" s="56"/>
      <c r="K160" s="57"/>
      <c r="L160" s="60"/>
      <c r="M160" s="59">
        <v>1</v>
      </c>
      <c r="N160" s="17"/>
      <c r="O160" s="19"/>
      <c r="P160" s="19"/>
      <c r="Q160" s="19"/>
      <c r="R160" s="19"/>
      <c r="S160" s="19">
        <f>SUM(J160:O160)</f>
        <v>1</v>
      </c>
      <c r="T160" s="20">
        <v>2019</v>
      </c>
      <c r="V160" s="16"/>
      <c r="W160" s="16"/>
    </row>
    <row r="161" spans="1:23" ht="30">
      <c r="A161" s="17" t="s">
        <v>337</v>
      </c>
      <c r="B161" s="17">
        <v>1</v>
      </c>
      <c r="C161" s="17">
        <v>2</v>
      </c>
      <c r="D161" s="17">
        <v>1</v>
      </c>
      <c r="E161" s="17">
        <v>2</v>
      </c>
      <c r="F161" s="17">
        <v>0</v>
      </c>
      <c r="G161" s="17"/>
      <c r="H161" s="18" t="s">
        <v>373</v>
      </c>
      <c r="I161" s="91" t="s">
        <v>84</v>
      </c>
      <c r="J161" s="56"/>
      <c r="K161" s="57"/>
      <c r="L161" s="47"/>
      <c r="M161" s="59"/>
      <c r="N161" s="26">
        <v>592</v>
      </c>
      <c r="O161" s="29"/>
      <c r="P161" s="29"/>
      <c r="Q161" s="29"/>
      <c r="R161" s="29"/>
      <c r="S161" s="19">
        <f>SUM(J161:O161)</f>
        <v>592</v>
      </c>
      <c r="T161" s="20">
        <v>2020</v>
      </c>
      <c r="V161" s="16"/>
      <c r="W161" s="16"/>
    </row>
    <row r="162" spans="1:23" ht="28.5" customHeight="1">
      <c r="A162" s="17" t="s">
        <v>337</v>
      </c>
      <c r="B162" s="17">
        <v>1</v>
      </c>
      <c r="C162" s="17">
        <v>2</v>
      </c>
      <c r="D162" s="17">
        <v>1</v>
      </c>
      <c r="E162" s="17">
        <v>2</v>
      </c>
      <c r="F162" s="17">
        <v>1</v>
      </c>
      <c r="G162" s="17">
        <v>3</v>
      </c>
      <c r="H162" s="18" t="s">
        <v>119</v>
      </c>
      <c r="I162" s="91" t="s">
        <v>264</v>
      </c>
      <c r="J162" s="47"/>
      <c r="K162" s="19"/>
      <c r="L162" s="19">
        <v>2104.4</v>
      </c>
      <c r="M162" s="19">
        <v>2104.4</v>
      </c>
      <c r="N162" s="19"/>
      <c r="O162" s="19"/>
      <c r="P162" s="19">
        <v>383937.8</v>
      </c>
      <c r="Q162" s="19"/>
      <c r="R162" s="19"/>
      <c r="S162" s="19">
        <f>SUM(J162:R162)</f>
        <v>388146.6</v>
      </c>
      <c r="T162" s="20">
        <v>2022</v>
      </c>
      <c r="V162" s="16"/>
      <c r="W162" s="16"/>
    </row>
    <row r="163" spans="1:23" ht="30">
      <c r="A163" s="17" t="s">
        <v>337</v>
      </c>
      <c r="B163" s="17">
        <v>1</v>
      </c>
      <c r="C163" s="17">
        <v>2</v>
      </c>
      <c r="D163" s="17">
        <v>1</v>
      </c>
      <c r="E163" s="17">
        <v>2</v>
      </c>
      <c r="F163" s="17">
        <v>1</v>
      </c>
      <c r="G163" s="17"/>
      <c r="H163" s="18" t="s">
        <v>59</v>
      </c>
      <c r="I163" s="91" t="s">
        <v>265</v>
      </c>
      <c r="J163" s="56"/>
      <c r="K163" s="26"/>
      <c r="L163" s="26">
        <v>1</v>
      </c>
      <c r="M163" s="26">
        <v>1</v>
      </c>
      <c r="N163" s="26"/>
      <c r="O163" s="19"/>
      <c r="P163" s="19"/>
      <c r="Q163" s="19"/>
      <c r="R163" s="19"/>
      <c r="S163" s="19">
        <f aca="true" t="shared" si="40" ref="S163:S170">SUM(J163:R163)</f>
        <v>2</v>
      </c>
      <c r="T163" s="20">
        <v>2019</v>
      </c>
      <c r="V163" s="16"/>
      <c r="W163" s="16"/>
    </row>
    <row r="164" spans="1:23" ht="30">
      <c r="A164" s="17" t="s">
        <v>337</v>
      </c>
      <c r="B164" s="17">
        <v>1</v>
      </c>
      <c r="C164" s="17">
        <v>2</v>
      </c>
      <c r="D164" s="17">
        <v>1</v>
      </c>
      <c r="E164" s="17">
        <v>2</v>
      </c>
      <c r="F164" s="17">
        <v>1</v>
      </c>
      <c r="G164" s="17"/>
      <c r="H164" s="18" t="s">
        <v>446</v>
      </c>
      <c r="I164" s="91" t="s">
        <v>84</v>
      </c>
      <c r="J164" s="56"/>
      <c r="K164" s="90"/>
      <c r="L164" s="26"/>
      <c r="M164" s="26"/>
      <c r="N164" s="26"/>
      <c r="O164" s="19"/>
      <c r="P164" s="19">
        <v>1077.15</v>
      </c>
      <c r="Q164" s="19"/>
      <c r="R164" s="19"/>
      <c r="S164" s="19">
        <f t="shared" si="40"/>
        <v>1077.15</v>
      </c>
      <c r="T164" s="20">
        <v>2022</v>
      </c>
      <c r="V164" s="16"/>
      <c r="W164" s="16"/>
    </row>
    <row r="165" spans="1:23" ht="45">
      <c r="A165" s="17" t="s">
        <v>337</v>
      </c>
      <c r="B165" s="17">
        <v>1</v>
      </c>
      <c r="C165" s="17">
        <v>2</v>
      </c>
      <c r="D165" s="17">
        <v>1</v>
      </c>
      <c r="E165" s="17">
        <v>2</v>
      </c>
      <c r="F165" s="17">
        <v>2</v>
      </c>
      <c r="G165" s="17">
        <v>3</v>
      </c>
      <c r="H165" s="18" t="s">
        <v>46</v>
      </c>
      <c r="I165" s="91" t="s">
        <v>264</v>
      </c>
      <c r="J165" s="47"/>
      <c r="K165" s="47"/>
      <c r="L165" s="19"/>
      <c r="M165" s="19">
        <v>539.7</v>
      </c>
      <c r="N165" s="19"/>
      <c r="O165" s="19">
        <v>5000</v>
      </c>
      <c r="P165" s="19"/>
      <c r="Q165" s="19"/>
      <c r="R165" s="19"/>
      <c r="S165" s="19">
        <f t="shared" si="40"/>
        <v>5539.7</v>
      </c>
      <c r="T165" s="20">
        <v>2021</v>
      </c>
      <c r="V165" s="16"/>
      <c r="W165" s="16"/>
    </row>
    <row r="166" spans="1:22" ht="30">
      <c r="A166" s="17" t="s">
        <v>337</v>
      </c>
      <c r="B166" s="17">
        <v>1</v>
      </c>
      <c r="C166" s="17">
        <v>2</v>
      </c>
      <c r="D166" s="17">
        <v>1</v>
      </c>
      <c r="E166" s="17">
        <v>2</v>
      </c>
      <c r="F166" s="17">
        <v>2</v>
      </c>
      <c r="G166" s="17"/>
      <c r="H166" s="18" t="s">
        <v>368</v>
      </c>
      <c r="I166" s="91" t="s">
        <v>84</v>
      </c>
      <c r="J166" s="56"/>
      <c r="K166" s="57"/>
      <c r="L166" s="47"/>
      <c r="M166" s="26"/>
      <c r="N166" s="17"/>
      <c r="O166" s="26">
        <v>78.4</v>
      </c>
      <c r="P166" s="19"/>
      <c r="Q166" s="19"/>
      <c r="R166" s="19"/>
      <c r="S166" s="19">
        <f t="shared" si="40"/>
        <v>78.4</v>
      </c>
      <c r="T166" s="20">
        <v>2021</v>
      </c>
      <c r="V166" s="16"/>
    </row>
    <row r="167" spans="1:22" ht="15">
      <c r="A167" s="17" t="s">
        <v>337</v>
      </c>
      <c r="B167" s="17">
        <v>1</v>
      </c>
      <c r="C167" s="17">
        <v>2</v>
      </c>
      <c r="D167" s="17">
        <v>1</v>
      </c>
      <c r="E167" s="17">
        <v>2</v>
      </c>
      <c r="F167" s="17">
        <v>2</v>
      </c>
      <c r="G167" s="17"/>
      <c r="H167" s="18" t="s">
        <v>140</v>
      </c>
      <c r="I167" s="91" t="s">
        <v>265</v>
      </c>
      <c r="J167" s="56"/>
      <c r="K167" s="57"/>
      <c r="L167" s="47"/>
      <c r="M167" s="35">
        <v>1</v>
      </c>
      <c r="N167" s="17"/>
      <c r="O167" s="19"/>
      <c r="P167" s="19"/>
      <c r="Q167" s="19"/>
      <c r="R167" s="19"/>
      <c r="S167" s="19">
        <f t="shared" si="40"/>
        <v>1</v>
      </c>
      <c r="T167" s="20">
        <v>2019</v>
      </c>
      <c r="V167" s="16"/>
    </row>
    <row r="168" spans="1:22" ht="30">
      <c r="A168" s="17" t="s">
        <v>337</v>
      </c>
      <c r="B168" s="17">
        <v>1</v>
      </c>
      <c r="C168" s="17">
        <v>2</v>
      </c>
      <c r="D168" s="17">
        <v>1</v>
      </c>
      <c r="E168" s="17">
        <v>2</v>
      </c>
      <c r="F168" s="17">
        <v>3</v>
      </c>
      <c r="G168" s="17">
        <v>3</v>
      </c>
      <c r="H168" s="18" t="s">
        <v>16</v>
      </c>
      <c r="I168" s="91" t="s">
        <v>264</v>
      </c>
      <c r="J168" s="19"/>
      <c r="K168" s="19"/>
      <c r="L168" s="19"/>
      <c r="M168" s="19"/>
      <c r="N168" s="19">
        <v>1650</v>
      </c>
      <c r="O168" s="19">
        <v>18000</v>
      </c>
      <c r="P168" s="19"/>
      <c r="Q168" s="19"/>
      <c r="R168" s="19"/>
      <c r="S168" s="19">
        <f t="shared" si="40"/>
        <v>19650</v>
      </c>
      <c r="T168" s="20">
        <v>2021</v>
      </c>
      <c r="V168" s="16"/>
    </row>
    <row r="169" spans="1:22" ht="15">
      <c r="A169" s="17" t="s">
        <v>337</v>
      </c>
      <c r="B169" s="17">
        <v>1</v>
      </c>
      <c r="C169" s="17">
        <v>2</v>
      </c>
      <c r="D169" s="17">
        <v>1</v>
      </c>
      <c r="E169" s="17">
        <v>2</v>
      </c>
      <c r="F169" s="17">
        <v>3</v>
      </c>
      <c r="G169" s="17"/>
      <c r="H169" s="18" t="s">
        <v>426</v>
      </c>
      <c r="I169" s="91" t="s">
        <v>265</v>
      </c>
      <c r="J169" s="56"/>
      <c r="K169" s="57"/>
      <c r="L169" s="47"/>
      <c r="M169" s="35"/>
      <c r="N169" s="17">
        <v>1</v>
      </c>
      <c r="O169" s="19"/>
      <c r="P169" s="19"/>
      <c r="Q169" s="19"/>
      <c r="R169" s="19"/>
      <c r="S169" s="19">
        <f t="shared" si="40"/>
        <v>1</v>
      </c>
      <c r="T169" s="20">
        <v>2020</v>
      </c>
      <c r="V169" s="16"/>
    </row>
    <row r="170" spans="1:22" ht="15">
      <c r="A170" s="17" t="s">
        <v>337</v>
      </c>
      <c r="B170" s="17">
        <v>1</v>
      </c>
      <c r="C170" s="17">
        <v>2</v>
      </c>
      <c r="D170" s="17">
        <v>1</v>
      </c>
      <c r="E170" s="17">
        <v>2</v>
      </c>
      <c r="F170" s="17">
        <v>3</v>
      </c>
      <c r="G170" s="17"/>
      <c r="H170" s="18" t="s">
        <v>17</v>
      </c>
      <c r="I170" s="91" t="s">
        <v>84</v>
      </c>
      <c r="J170" s="56"/>
      <c r="K170" s="57"/>
      <c r="L170" s="47"/>
      <c r="M170" s="35"/>
      <c r="N170" s="17"/>
      <c r="O170" s="19">
        <v>270</v>
      </c>
      <c r="P170" s="19"/>
      <c r="Q170" s="19"/>
      <c r="R170" s="19"/>
      <c r="S170" s="19">
        <f t="shared" si="40"/>
        <v>270</v>
      </c>
      <c r="T170" s="20">
        <v>2021</v>
      </c>
      <c r="V170" s="16"/>
    </row>
    <row r="171" spans="1:27" ht="15">
      <c r="A171" s="17" t="s">
        <v>337</v>
      </c>
      <c r="B171" s="17">
        <v>1</v>
      </c>
      <c r="C171" s="17">
        <v>2</v>
      </c>
      <c r="D171" s="17">
        <v>2</v>
      </c>
      <c r="E171" s="17">
        <v>0</v>
      </c>
      <c r="F171" s="17">
        <v>0</v>
      </c>
      <c r="G171" s="17"/>
      <c r="H171" s="18" t="s">
        <v>272</v>
      </c>
      <c r="I171" s="91" t="s">
        <v>264</v>
      </c>
      <c r="J171" s="21">
        <f>J174+J173+J172</f>
        <v>28001.7</v>
      </c>
      <c r="K171" s="21">
        <f aca="true" t="shared" si="41" ref="K171:R171">K174+K173+K172</f>
        <v>18169.5</v>
      </c>
      <c r="L171" s="21">
        <f t="shared" si="41"/>
        <v>137841</v>
      </c>
      <c r="M171" s="21">
        <f t="shared" si="41"/>
        <v>356349.79999999993</v>
      </c>
      <c r="N171" s="21">
        <f t="shared" si="41"/>
        <v>720237</v>
      </c>
      <c r="O171" s="21">
        <f t="shared" si="41"/>
        <v>757928.6</v>
      </c>
      <c r="P171" s="21">
        <f t="shared" si="41"/>
        <v>0</v>
      </c>
      <c r="Q171" s="21">
        <f t="shared" si="41"/>
        <v>0</v>
      </c>
      <c r="R171" s="21">
        <f t="shared" si="41"/>
        <v>0</v>
      </c>
      <c r="S171" s="21">
        <f>S174+S173+S172</f>
        <v>2018527.5999999996</v>
      </c>
      <c r="T171" s="20">
        <v>2024</v>
      </c>
      <c r="U171" s="39"/>
      <c r="V171" s="16"/>
      <c r="W171" s="39"/>
      <c r="X171" s="39"/>
      <c r="Y171" s="39"/>
      <c r="Z171" s="39"/>
      <c r="AA171" s="39"/>
    </row>
    <row r="172" spans="1:23" ht="15">
      <c r="A172" s="17" t="s">
        <v>337</v>
      </c>
      <c r="B172" s="17">
        <v>1</v>
      </c>
      <c r="C172" s="17">
        <v>2</v>
      </c>
      <c r="D172" s="17">
        <v>2</v>
      </c>
      <c r="E172" s="17">
        <v>0</v>
      </c>
      <c r="F172" s="17">
        <v>0</v>
      </c>
      <c r="G172" s="17">
        <v>1</v>
      </c>
      <c r="H172" s="18" t="s">
        <v>222</v>
      </c>
      <c r="I172" s="91" t="s">
        <v>264</v>
      </c>
      <c r="J172" s="21">
        <f aca="true" t="shared" si="42" ref="J172:R172">J212+J224+J230+J235+J199+J206</f>
        <v>0</v>
      </c>
      <c r="K172" s="21">
        <f t="shared" si="42"/>
        <v>0</v>
      </c>
      <c r="L172" s="21">
        <f t="shared" si="42"/>
        <v>82505.2</v>
      </c>
      <c r="M172" s="21">
        <f t="shared" si="42"/>
        <v>0</v>
      </c>
      <c r="N172" s="21">
        <f t="shared" si="42"/>
        <v>655939.6</v>
      </c>
      <c r="O172" s="21">
        <f t="shared" si="42"/>
        <v>696810</v>
      </c>
      <c r="P172" s="21">
        <f t="shared" si="42"/>
        <v>0</v>
      </c>
      <c r="Q172" s="21">
        <f t="shared" si="42"/>
        <v>0</v>
      </c>
      <c r="R172" s="21">
        <f t="shared" si="42"/>
        <v>0</v>
      </c>
      <c r="S172" s="21">
        <f>SUM(J172:R172)</f>
        <v>1435254.7999999998</v>
      </c>
      <c r="T172" s="20">
        <v>2024</v>
      </c>
      <c r="V172" s="16"/>
      <c r="W172" s="61"/>
    </row>
    <row r="173" spans="1:27" ht="15">
      <c r="A173" s="17" t="s">
        <v>337</v>
      </c>
      <c r="B173" s="17">
        <v>1</v>
      </c>
      <c r="C173" s="17">
        <v>2</v>
      </c>
      <c r="D173" s="17">
        <v>2</v>
      </c>
      <c r="E173" s="17">
        <v>0</v>
      </c>
      <c r="F173" s="17">
        <v>0</v>
      </c>
      <c r="G173" s="17">
        <v>2</v>
      </c>
      <c r="H173" s="18" t="s">
        <v>233</v>
      </c>
      <c r="I173" s="91" t="s">
        <v>264</v>
      </c>
      <c r="J173" s="19">
        <f aca="true" t="shared" si="43" ref="J173:R173">J182+J207+J213+J225+J231+J236+J200</f>
        <v>11942.7</v>
      </c>
      <c r="K173" s="19">
        <f t="shared" si="43"/>
        <v>0</v>
      </c>
      <c r="L173" s="19">
        <f t="shared" si="43"/>
        <v>9204.6</v>
      </c>
      <c r="M173" s="19">
        <f t="shared" si="43"/>
        <v>308687.89999999997</v>
      </c>
      <c r="N173" s="19">
        <f t="shared" si="43"/>
        <v>52297.4</v>
      </c>
      <c r="O173" s="19">
        <f t="shared" si="43"/>
        <v>37118.6</v>
      </c>
      <c r="P173" s="19">
        <f t="shared" si="43"/>
        <v>0</v>
      </c>
      <c r="Q173" s="19">
        <f t="shared" si="43"/>
        <v>0</v>
      </c>
      <c r="R173" s="19">
        <f t="shared" si="43"/>
        <v>0</v>
      </c>
      <c r="S173" s="21">
        <f>SUM(J173:R173)</f>
        <v>419251.19999999995</v>
      </c>
      <c r="T173" s="20">
        <v>2024</v>
      </c>
      <c r="V173" s="16"/>
      <c r="AA173" s="61"/>
    </row>
    <row r="174" spans="1:22" ht="15">
      <c r="A174" s="17" t="s">
        <v>337</v>
      </c>
      <c r="B174" s="17">
        <v>1</v>
      </c>
      <c r="C174" s="17">
        <v>2</v>
      </c>
      <c r="D174" s="17">
        <v>2</v>
      </c>
      <c r="E174" s="17">
        <v>0</v>
      </c>
      <c r="F174" s="17">
        <v>0</v>
      </c>
      <c r="G174" s="17">
        <v>3</v>
      </c>
      <c r="H174" s="18" t="s">
        <v>234</v>
      </c>
      <c r="I174" s="91" t="s">
        <v>264</v>
      </c>
      <c r="J174" s="19">
        <f aca="true" t="shared" si="44" ref="J174:R174">J183+J186+J188+J191+J193+J177+J208+J214+J220+J232+J226+J237+J201</f>
        <v>16059</v>
      </c>
      <c r="K174" s="19">
        <f t="shared" si="44"/>
        <v>18169.5</v>
      </c>
      <c r="L174" s="19">
        <f t="shared" si="44"/>
        <v>46131.2</v>
      </c>
      <c r="M174" s="19">
        <f t="shared" si="44"/>
        <v>47661.899999999994</v>
      </c>
      <c r="N174" s="19">
        <f t="shared" si="44"/>
        <v>12000</v>
      </c>
      <c r="O174" s="19">
        <f t="shared" si="44"/>
        <v>24000</v>
      </c>
      <c r="P174" s="19">
        <f t="shared" si="44"/>
        <v>0</v>
      </c>
      <c r="Q174" s="19">
        <f t="shared" si="44"/>
        <v>0</v>
      </c>
      <c r="R174" s="19">
        <f t="shared" si="44"/>
        <v>0</v>
      </c>
      <c r="S174" s="21">
        <f>SUM(J174:R174)</f>
        <v>164021.59999999998</v>
      </c>
      <c r="T174" s="20">
        <v>2024</v>
      </c>
      <c r="V174" s="16"/>
    </row>
    <row r="175" spans="1:22" ht="30">
      <c r="A175" s="17" t="s">
        <v>337</v>
      </c>
      <c r="B175" s="17">
        <v>1</v>
      </c>
      <c r="C175" s="17">
        <v>2</v>
      </c>
      <c r="D175" s="17">
        <v>2</v>
      </c>
      <c r="E175" s="17">
        <v>0</v>
      </c>
      <c r="F175" s="17">
        <v>0</v>
      </c>
      <c r="G175" s="17"/>
      <c r="H175" s="18" t="s">
        <v>284</v>
      </c>
      <c r="I175" s="91" t="str">
        <f>расчет_показ!B83</f>
        <v>%</v>
      </c>
      <c r="J175" s="25">
        <f>расчет_показ!E83</f>
        <v>111.23724711841882</v>
      </c>
      <c r="K175" s="25">
        <f>расчет_показ!F83</f>
        <v>112.00588884799411</v>
      </c>
      <c r="L175" s="21">
        <f>расчет_показ!G83</f>
        <v>112.95221632300283</v>
      </c>
      <c r="M175" s="25">
        <f>расчет_показ!H83</f>
        <v>114.29285232468085</v>
      </c>
      <c r="N175" s="25">
        <f>расчет_показ!I83</f>
        <v>116.53807959666946</v>
      </c>
      <c r="O175" s="25">
        <f>расчет_показ!J83</f>
        <v>118.81928398971935</v>
      </c>
      <c r="P175" s="25">
        <f>расчет_показ!K83</f>
        <v>118.81928398971935</v>
      </c>
      <c r="Q175" s="25">
        <f>расчет_показ!L83</f>
        <v>118.81928398971935</v>
      </c>
      <c r="R175" s="25">
        <f>расчет_показ!M83</f>
        <v>118.81928398971935</v>
      </c>
      <c r="S175" s="25">
        <f>R175</f>
        <v>118.81928398971935</v>
      </c>
      <c r="T175" s="20">
        <v>2024</v>
      </c>
      <c r="V175" s="16"/>
    </row>
    <row r="176" spans="1:22" ht="60">
      <c r="A176" s="17" t="s">
        <v>337</v>
      </c>
      <c r="B176" s="17">
        <v>1</v>
      </c>
      <c r="C176" s="17">
        <v>2</v>
      </c>
      <c r="D176" s="17">
        <v>2</v>
      </c>
      <c r="E176" s="17">
        <v>0</v>
      </c>
      <c r="F176" s="17">
        <v>0</v>
      </c>
      <c r="G176" s="17"/>
      <c r="H176" s="18" t="s">
        <v>143</v>
      </c>
      <c r="I176" s="91" t="s">
        <v>266</v>
      </c>
      <c r="J176" s="23">
        <f>расчет_показ!E90</f>
        <v>36.55361426565539</v>
      </c>
      <c r="K176" s="23">
        <f>расчет_показ!F90</f>
        <v>36.765384337463246</v>
      </c>
      <c r="L176" s="23">
        <f>расчет_показ!G90</f>
        <v>36.88031051645176</v>
      </c>
      <c r="M176" s="23">
        <f>расчет_показ!H90</f>
        <v>37.014124388633334</v>
      </c>
      <c r="N176" s="23">
        <f>расчет_показ!I90</f>
        <v>37.1529818338329</v>
      </c>
      <c r="O176" s="23">
        <f>расчет_показ!J90</f>
        <v>37.30313822692576</v>
      </c>
      <c r="P176" s="23">
        <f>расчет_показ!K90</f>
        <v>37.456581276806</v>
      </c>
      <c r="Q176" s="23">
        <f>расчет_показ!L90</f>
        <v>37.607121891173115</v>
      </c>
      <c r="R176" s="23">
        <f>расчет_показ!M90</f>
        <v>37.76203015835635</v>
      </c>
      <c r="S176" s="25">
        <f>R176</f>
        <v>37.76203015835635</v>
      </c>
      <c r="T176" s="20">
        <v>2024</v>
      </c>
      <c r="V176" s="16"/>
    </row>
    <row r="177" spans="1:22" ht="45">
      <c r="A177" s="17" t="s">
        <v>337</v>
      </c>
      <c r="B177" s="17">
        <v>1</v>
      </c>
      <c r="C177" s="17">
        <v>2</v>
      </c>
      <c r="D177" s="17">
        <v>2</v>
      </c>
      <c r="E177" s="17">
        <v>0</v>
      </c>
      <c r="F177" s="17">
        <v>1</v>
      </c>
      <c r="G177" s="17">
        <v>3</v>
      </c>
      <c r="H177" s="18" t="s">
        <v>400</v>
      </c>
      <c r="I177" s="91" t="s">
        <v>264</v>
      </c>
      <c r="J177" s="19">
        <v>0</v>
      </c>
      <c r="K177" s="19">
        <v>17503.9</v>
      </c>
      <c r="L177" s="19">
        <v>7880.8</v>
      </c>
      <c r="M177" s="19">
        <v>0</v>
      </c>
      <c r="N177" s="19">
        <v>0</v>
      </c>
      <c r="O177" s="19">
        <v>0</v>
      </c>
      <c r="P177" s="19">
        <v>0</v>
      </c>
      <c r="Q177" s="19">
        <v>0</v>
      </c>
      <c r="R177" s="19">
        <v>0</v>
      </c>
      <c r="S177" s="19">
        <f>SUM(J177:O177)</f>
        <v>25384.7</v>
      </c>
      <c r="T177" s="20">
        <v>2018</v>
      </c>
      <c r="V177" s="16"/>
    </row>
    <row r="178" spans="1:22" ht="15">
      <c r="A178" s="17" t="s">
        <v>337</v>
      </c>
      <c r="B178" s="17">
        <v>1</v>
      </c>
      <c r="C178" s="17">
        <v>2</v>
      </c>
      <c r="D178" s="17">
        <v>2</v>
      </c>
      <c r="E178" s="17">
        <v>0</v>
      </c>
      <c r="F178" s="17">
        <v>1</v>
      </c>
      <c r="G178" s="17"/>
      <c r="H178" s="18" t="s">
        <v>103</v>
      </c>
      <c r="I178" s="91" t="s">
        <v>265</v>
      </c>
      <c r="J178" s="29"/>
      <c r="K178" s="29">
        <v>1</v>
      </c>
      <c r="L178" s="29"/>
      <c r="M178" s="29"/>
      <c r="N178" s="29"/>
      <c r="O178" s="29"/>
      <c r="P178" s="29"/>
      <c r="Q178" s="29"/>
      <c r="R178" s="29"/>
      <c r="S178" s="29">
        <f>SUM(J178:O178)</f>
        <v>1</v>
      </c>
      <c r="T178" s="20">
        <v>2017</v>
      </c>
      <c r="V178" s="16"/>
    </row>
    <row r="179" spans="1:22" ht="30">
      <c r="A179" s="17" t="s">
        <v>337</v>
      </c>
      <c r="B179" s="17">
        <v>1</v>
      </c>
      <c r="C179" s="17">
        <v>2</v>
      </c>
      <c r="D179" s="17">
        <v>2</v>
      </c>
      <c r="E179" s="17">
        <v>0</v>
      </c>
      <c r="F179" s="17">
        <v>1</v>
      </c>
      <c r="G179" s="17"/>
      <c r="H179" s="18" t="s">
        <v>72</v>
      </c>
      <c r="I179" s="91" t="s">
        <v>263</v>
      </c>
      <c r="J179" s="19"/>
      <c r="K179" s="19">
        <f>60*31</f>
        <v>1860</v>
      </c>
      <c r="L179" s="19"/>
      <c r="M179" s="19"/>
      <c r="N179" s="19"/>
      <c r="O179" s="19"/>
      <c r="P179" s="19"/>
      <c r="Q179" s="19"/>
      <c r="R179" s="19"/>
      <c r="S179" s="19">
        <f>SUM(J179:O179)</f>
        <v>1860</v>
      </c>
      <c r="T179" s="20">
        <v>2017</v>
      </c>
      <c r="V179" s="16"/>
    </row>
    <row r="180" spans="1:22" ht="22.5" customHeight="1">
      <c r="A180" s="17" t="s">
        <v>337</v>
      </c>
      <c r="B180" s="17">
        <v>1</v>
      </c>
      <c r="C180" s="17">
        <v>2</v>
      </c>
      <c r="D180" s="17">
        <v>2</v>
      </c>
      <c r="E180" s="17">
        <v>0</v>
      </c>
      <c r="F180" s="17">
        <v>1</v>
      </c>
      <c r="G180" s="17"/>
      <c r="H180" s="18" t="s">
        <v>74</v>
      </c>
      <c r="I180" s="91" t="s">
        <v>401</v>
      </c>
      <c r="J180" s="19"/>
      <c r="K180" s="19"/>
      <c r="L180" s="19">
        <v>18271</v>
      </c>
      <c r="M180" s="19"/>
      <c r="N180" s="19"/>
      <c r="O180" s="19"/>
      <c r="P180" s="19"/>
      <c r="Q180" s="19"/>
      <c r="R180" s="19"/>
      <c r="S180" s="19">
        <f>SUM(J180:O180)</f>
        <v>18271</v>
      </c>
      <c r="T180" s="20">
        <v>2018</v>
      </c>
      <c r="V180" s="16"/>
    </row>
    <row r="181" spans="1:22" ht="30">
      <c r="A181" s="17" t="s">
        <v>337</v>
      </c>
      <c r="B181" s="17">
        <v>1</v>
      </c>
      <c r="C181" s="17">
        <v>2</v>
      </c>
      <c r="D181" s="17">
        <v>2</v>
      </c>
      <c r="E181" s="17">
        <v>0</v>
      </c>
      <c r="F181" s="17">
        <v>2</v>
      </c>
      <c r="G181" s="17"/>
      <c r="H181" s="18" t="s">
        <v>382</v>
      </c>
      <c r="I181" s="91" t="s">
        <v>264</v>
      </c>
      <c r="J181" s="19">
        <f>J182+J183</f>
        <v>13378.300000000001</v>
      </c>
      <c r="K181" s="19">
        <v>0</v>
      </c>
      <c r="L181" s="19">
        <v>0</v>
      </c>
      <c r="M181" s="19">
        <v>0</v>
      </c>
      <c r="N181" s="19">
        <v>0</v>
      </c>
      <c r="O181" s="19">
        <v>0</v>
      </c>
      <c r="P181" s="19">
        <v>0</v>
      </c>
      <c r="Q181" s="19">
        <v>0</v>
      </c>
      <c r="R181" s="19">
        <v>0</v>
      </c>
      <c r="S181" s="19">
        <f aca="true" t="shared" si="45" ref="S181:S191">SUM(J181:O181)</f>
        <v>13378.300000000001</v>
      </c>
      <c r="T181" s="20">
        <v>2016</v>
      </c>
      <c r="V181" s="16"/>
    </row>
    <row r="182" spans="1:22" ht="15">
      <c r="A182" s="17" t="s">
        <v>337</v>
      </c>
      <c r="B182" s="17">
        <v>1</v>
      </c>
      <c r="C182" s="17">
        <v>2</v>
      </c>
      <c r="D182" s="17">
        <v>2</v>
      </c>
      <c r="E182" s="17">
        <v>0</v>
      </c>
      <c r="F182" s="17">
        <v>2</v>
      </c>
      <c r="G182" s="17">
        <v>2</v>
      </c>
      <c r="H182" s="18" t="s">
        <v>233</v>
      </c>
      <c r="I182" s="91" t="s">
        <v>264</v>
      </c>
      <c r="J182" s="19">
        <f>16122.9-4180.2</f>
        <v>11942.7</v>
      </c>
      <c r="K182" s="19">
        <v>0</v>
      </c>
      <c r="L182" s="19">
        <v>0</v>
      </c>
      <c r="M182" s="19">
        <v>0</v>
      </c>
      <c r="N182" s="19">
        <v>0</v>
      </c>
      <c r="O182" s="19">
        <v>0</v>
      </c>
      <c r="P182" s="19">
        <v>0</v>
      </c>
      <c r="Q182" s="19">
        <v>0</v>
      </c>
      <c r="R182" s="19">
        <v>0</v>
      </c>
      <c r="S182" s="19">
        <f t="shared" si="45"/>
        <v>11942.7</v>
      </c>
      <c r="T182" s="20">
        <v>2016</v>
      </c>
      <c r="V182" s="16"/>
    </row>
    <row r="183" spans="1:22" ht="15">
      <c r="A183" s="17" t="s">
        <v>337</v>
      </c>
      <c r="B183" s="17">
        <v>1</v>
      </c>
      <c r="C183" s="17">
        <v>2</v>
      </c>
      <c r="D183" s="17">
        <v>2</v>
      </c>
      <c r="E183" s="17">
        <v>0</v>
      </c>
      <c r="F183" s="17">
        <v>2</v>
      </c>
      <c r="G183" s="17">
        <v>3</v>
      </c>
      <c r="H183" s="18" t="s">
        <v>234</v>
      </c>
      <c r="I183" s="91" t="s">
        <v>264</v>
      </c>
      <c r="J183" s="19">
        <f>1494.3-58.7</f>
        <v>1435.6</v>
      </c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19">
        <v>0</v>
      </c>
      <c r="Q183" s="19">
        <v>0</v>
      </c>
      <c r="R183" s="19">
        <v>0</v>
      </c>
      <c r="S183" s="19">
        <f t="shared" si="45"/>
        <v>1435.6</v>
      </c>
      <c r="T183" s="20">
        <v>2016</v>
      </c>
      <c r="V183" s="16"/>
    </row>
    <row r="184" spans="1:22" ht="30">
      <c r="A184" s="17" t="s">
        <v>337</v>
      </c>
      <c r="B184" s="17">
        <v>1</v>
      </c>
      <c r="C184" s="17">
        <v>2</v>
      </c>
      <c r="D184" s="17">
        <v>2</v>
      </c>
      <c r="E184" s="17">
        <v>0</v>
      </c>
      <c r="F184" s="17">
        <v>2</v>
      </c>
      <c r="G184" s="17"/>
      <c r="H184" s="18" t="s">
        <v>100</v>
      </c>
      <c r="I184" s="91" t="s">
        <v>265</v>
      </c>
      <c r="J184" s="29">
        <v>1</v>
      </c>
      <c r="K184" s="29"/>
      <c r="L184" s="29"/>
      <c r="M184" s="29"/>
      <c r="N184" s="29"/>
      <c r="O184" s="29"/>
      <c r="P184" s="29"/>
      <c r="Q184" s="29"/>
      <c r="R184" s="29"/>
      <c r="S184" s="29">
        <f t="shared" si="45"/>
        <v>1</v>
      </c>
      <c r="T184" s="20">
        <v>2016</v>
      </c>
      <c r="V184" s="16"/>
    </row>
    <row r="185" spans="1:22" ht="30">
      <c r="A185" s="17" t="s">
        <v>337</v>
      </c>
      <c r="B185" s="17">
        <v>1</v>
      </c>
      <c r="C185" s="17">
        <v>2</v>
      </c>
      <c r="D185" s="17">
        <v>2</v>
      </c>
      <c r="E185" s="17">
        <v>0</v>
      </c>
      <c r="F185" s="17">
        <v>2</v>
      </c>
      <c r="G185" s="17"/>
      <c r="H185" s="18" t="s">
        <v>390</v>
      </c>
      <c r="I185" s="91" t="s">
        <v>265</v>
      </c>
      <c r="J185" s="29">
        <v>1</v>
      </c>
      <c r="K185" s="29"/>
      <c r="L185" s="29"/>
      <c r="M185" s="29"/>
      <c r="N185" s="29"/>
      <c r="O185" s="29"/>
      <c r="P185" s="29"/>
      <c r="Q185" s="29"/>
      <c r="R185" s="29"/>
      <c r="S185" s="29">
        <f t="shared" si="45"/>
        <v>1</v>
      </c>
      <c r="T185" s="20">
        <v>2016</v>
      </c>
      <c r="V185" s="16"/>
    </row>
    <row r="186" spans="1:22" ht="30">
      <c r="A186" s="17" t="s">
        <v>337</v>
      </c>
      <c r="B186" s="17">
        <v>1</v>
      </c>
      <c r="C186" s="17">
        <v>2</v>
      </c>
      <c r="D186" s="17">
        <v>2</v>
      </c>
      <c r="E186" s="17">
        <v>0</v>
      </c>
      <c r="F186" s="17">
        <v>3</v>
      </c>
      <c r="G186" s="17">
        <v>3</v>
      </c>
      <c r="H186" s="18" t="s">
        <v>383</v>
      </c>
      <c r="I186" s="91" t="s">
        <v>264</v>
      </c>
      <c r="J186" s="19">
        <v>11703.9</v>
      </c>
      <c r="K186" s="19">
        <v>0</v>
      </c>
      <c r="L186" s="19">
        <v>0</v>
      </c>
      <c r="M186" s="19">
        <v>0</v>
      </c>
      <c r="N186" s="19">
        <v>0</v>
      </c>
      <c r="O186" s="19">
        <v>0</v>
      </c>
      <c r="P186" s="19">
        <v>0</v>
      </c>
      <c r="Q186" s="19">
        <v>0</v>
      </c>
      <c r="R186" s="19">
        <v>0</v>
      </c>
      <c r="S186" s="19">
        <f>O186+N186+M186+L186+K186+J186</f>
        <v>11703.9</v>
      </c>
      <c r="T186" s="20">
        <v>2016</v>
      </c>
      <c r="V186" s="16"/>
    </row>
    <row r="187" spans="1:22" ht="45">
      <c r="A187" s="17" t="s">
        <v>337</v>
      </c>
      <c r="B187" s="17">
        <v>1</v>
      </c>
      <c r="C187" s="17">
        <v>2</v>
      </c>
      <c r="D187" s="17">
        <v>2</v>
      </c>
      <c r="E187" s="17">
        <v>0</v>
      </c>
      <c r="F187" s="17">
        <v>3</v>
      </c>
      <c r="G187" s="17"/>
      <c r="H187" s="18" t="s">
        <v>144</v>
      </c>
      <c r="I187" s="91" t="s">
        <v>265</v>
      </c>
      <c r="J187" s="29">
        <v>2</v>
      </c>
      <c r="K187" s="29"/>
      <c r="L187" s="29"/>
      <c r="M187" s="29"/>
      <c r="N187" s="29"/>
      <c r="O187" s="29"/>
      <c r="P187" s="29"/>
      <c r="Q187" s="29"/>
      <c r="R187" s="29"/>
      <c r="S187" s="29">
        <f>O187+N187+M187+L187+K187+J187</f>
        <v>2</v>
      </c>
      <c r="T187" s="20">
        <v>2016</v>
      </c>
      <c r="V187" s="16"/>
    </row>
    <row r="188" spans="1:22" ht="30">
      <c r="A188" s="17" t="s">
        <v>337</v>
      </c>
      <c r="B188" s="17">
        <v>1</v>
      </c>
      <c r="C188" s="17">
        <v>2</v>
      </c>
      <c r="D188" s="17">
        <v>2</v>
      </c>
      <c r="E188" s="17">
        <v>0</v>
      </c>
      <c r="F188" s="17">
        <v>4</v>
      </c>
      <c r="G188" s="17">
        <v>3</v>
      </c>
      <c r="H188" s="18" t="s">
        <v>385</v>
      </c>
      <c r="I188" s="91" t="s">
        <v>264</v>
      </c>
      <c r="J188" s="19">
        <v>1427</v>
      </c>
      <c r="K188" s="19">
        <v>0</v>
      </c>
      <c r="L188" s="19">
        <f>34+6474.2</f>
        <v>6508.2</v>
      </c>
      <c r="M188" s="19">
        <v>1158.7</v>
      </c>
      <c r="N188" s="19">
        <v>0</v>
      </c>
      <c r="O188" s="19">
        <v>0</v>
      </c>
      <c r="P188" s="19">
        <v>0</v>
      </c>
      <c r="Q188" s="19">
        <v>0</v>
      </c>
      <c r="R188" s="19">
        <v>0</v>
      </c>
      <c r="S188" s="19">
        <f>O188+N188+M188+L188+K188+J188</f>
        <v>9093.9</v>
      </c>
      <c r="T188" s="20">
        <v>2019</v>
      </c>
      <c r="V188" s="16"/>
    </row>
    <row r="189" spans="1:22" ht="15">
      <c r="A189" s="17" t="s">
        <v>337</v>
      </c>
      <c r="B189" s="17">
        <v>1</v>
      </c>
      <c r="C189" s="17">
        <v>2</v>
      </c>
      <c r="D189" s="17">
        <v>2</v>
      </c>
      <c r="E189" s="17">
        <v>0</v>
      </c>
      <c r="F189" s="17">
        <v>4</v>
      </c>
      <c r="G189" s="17"/>
      <c r="H189" s="18" t="s">
        <v>414</v>
      </c>
      <c r="I189" s="91" t="s">
        <v>265</v>
      </c>
      <c r="J189" s="29">
        <v>1</v>
      </c>
      <c r="K189" s="29"/>
      <c r="L189" s="29"/>
      <c r="M189" s="29">
        <v>3</v>
      </c>
      <c r="N189" s="29"/>
      <c r="O189" s="29"/>
      <c r="P189" s="29"/>
      <c r="Q189" s="29"/>
      <c r="R189" s="29"/>
      <c r="S189" s="29">
        <f>SUM(J189:O189)</f>
        <v>4</v>
      </c>
      <c r="T189" s="20">
        <v>2019</v>
      </c>
      <c r="V189" s="16"/>
    </row>
    <row r="190" spans="1:22" ht="30">
      <c r="A190" s="17" t="s">
        <v>337</v>
      </c>
      <c r="B190" s="17">
        <v>1</v>
      </c>
      <c r="C190" s="17">
        <v>2</v>
      </c>
      <c r="D190" s="17">
        <v>2</v>
      </c>
      <c r="E190" s="17">
        <v>0</v>
      </c>
      <c r="F190" s="17">
        <v>4</v>
      </c>
      <c r="G190" s="17"/>
      <c r="H190" s="18" t="s">
        <v>225</v>
      </c>
      <c r="I190" s="91" t="s">
        <v>265</v>
      </c>
      <c r="J190" s="29"/>
      <c r="K190" s="29"/>
      <c r="L190" s="29">
        <v>4</v>
      </c>
      <c r="M190" s="29"/>
      <c r="N190" s="29"/>
      <c r="O190" s="29"/>
      <c r="P190" s="29"/>
      <c r="Q190" s="29"/>
      <c r="R190" s="29"/>
      <c r="S190" s="29">
        <f>SUM(J190:O190)</f>
        <v>4</v>
      </c>
      <c r="T190" s="20">
        <v>2018</v>
      </c>
      <c r="V190" s="16"/>
    </row>
    <row r="191" spans="1:22" ht="30">
      <c r="A191" s="17" t="s">
        <v>337</v>
      </c>
      <c r="B191" s="17">
        <v>1</v>
      </c>
      <c r="C191" s="17">
        <v>2</v>
      </c>
      <c r="D191" s="17">
        <v>2</v>
      </c>
      <c r="E191" s="17">
        <v>0</v>
      </c>
      <c r="F191" s="17">
        <v>5</v>
      </c>
      <c r="G191" s="17">
        <v>3</v>
      </c>
      <c r="H191" s="18" t="s">
        <v>10</v>
      </c>
      <c r="I191" s="91" t="s">
        <v>264</v>
      </c>
      <c r="J191" s="8">
        <v>0</v>
      </c>
      <c r="K191" s="8">
        <v>0</v>
      </c>
      <c r="L191" s="8">
        <v>1790</v>
      </c>
      <c r="M191" s="8">
        <v>1790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19">
        <f t="shared" si="45"/>
        <v>3580</v>
      </c>
      <c r="T191" s="20">
        <v>2019</v>
      </c>
      <c r="V191" s="16"/>
    </row>
    <row r="192" spans="1:22" ht="15">
      <c r="A192" s="17" t="s">
        <v>337</v>
      </c>
      <c r="B192" s="17">
        <v>1</v>
      </c>
      <c r="C192" s="17">
        <v>2</v>
      </c>
      <c r="D192" s="17">
        <v>2</v>
      </c>
      <c r="E192" s="17">
        <v>0</v>
      </c>
      <c r="F192" s="17">
        <v>5</v>
      </c>
      <c r="G192" s="17"/>
      <c r="H192" s="18" t="s">
        <v>32</v>
      </c>
      <c r="I192" s="91" t="s">
        <v>265</v>
      </c>
      <c r="J192" s="29"/>
      <c r="K192" s="29"/>
      <c r="L192" s="29">
        <v>1</v>
      </c>
      <c r="M192" s="29">
        <v>1</v>
      </c>
      <c r="N192" s="29"/>
      <c r="O192" s="29"/>
      <c r="P192" s="29"/>
      <c r="Q192" s="29"/>
      <c r="R192" s="29"/>
      <c r="S192" s="29">
        <v>2</v>
      </c>
      <c r="T192" s="20">
        <v>2019</v>
      </c>
      <c r="V192" s="16"/>
    </row>
    <row r="193" spans="1:22" ht="30">
      <c r="A193" s="17" t="s">
        <v>337</v>
      </c>
      <c r="B193" s="17">
        <v>1</v>
      </c>
      <c r="C193" s="17">
        <v>2</v>
      </c>
      <c r="D193" s="17">
        <v>2</v>
      </c>
      <c r="E193" s="17">
        <v>0</v>
      </c>
      <c r="F193" s="17">
        <v>6</v>
      </c>
      <c r="G193" s="17">
        <v>3</v>
      </c>
      <c r="H193" s="18" t="s">
        <v>386</v>
      </c>
      <c r="I193" s="91" t="s">
        <v>264</v>
      </c>
      <c r="J193" s="21">
        <v>992.5</v>
      </c>
      <c r="K193" s="21">
        <v>0</v>
      </c>
      <c r="L193" s="8">
        <v>3083.3</v>
      </c>
      <c r="M193" s="8">
        <v>3083.3</v>
      </c>
      <c r="N193" s="8">
        <v>5000</v>
      </c>
      <c r="O193" s="8">
        <v>5000</v>
      </c>
      <c r="P193" s="8">
        <v>0</v>
      </c>
      <c r="Q193" s="8">
        <v>0</v>
      </c>
      <c r="R193" s="8">
        <v>0</v>
      </c>
      <c r="S193" s="19">
        <f>SUM(J193:R193)</f>
        <v>17159.1</v>
      </c>
      <c r="T193" s="20">
        <v>2021</v>
      </c>
      <c r="V193" s="16"/>
    </row>
    <row r="194" spans="1:22" ht="15">
      <c r="A194" s="17" t="s">
        <v>337</v>
      </c>
      <c r="B194" s="17">
        <v>1</v>
      </c>
      <c r="C194" s="17">
        <v>2</v>
      </c>
      <c r="D194" s="17">
        <v>2</v>
      </c>
      <c r="E194" s="17">
        <v>0</v>
      </c>
      <c r="F194" s="17">
        <v>6</v>
      </c>
      <c r="G194" s="17"/>
      <c r="H194" s="18" t="s">
        <v>32</v>
      </c>
      <c r="I194" s="91" t="s">
        <v>265</v>
      </c>
      <c r="J194" s="29">
        <v>1</v>
      </c>
      <c r="K194" s="29"/>
      <c r="L194" s="29"/>
      <c r="M194" s="29"/>
      <c r="N194" s="29"/>
      <c r="O194" s="29"/>
      <c r="P194" s="29"/>
      <c r="Q194" s="29"/>
      <c r="R194" s="29"/>
      <c r="S194" s="29">
        <f>SUM(J194:R194)</f>
        <v>1</v>
      </c>
      <c r="T194" s="20">
        <v>2016</v>
      </c>
      <c r="V194" s="16"/>
    </row>
    <row r="195" spans="1:22" ht="15">
      <c r="A195" s="17" t="s">
        <v>337</v>
      </c>
      <c r="B195" s="17">
        <v>1</v>
      </c>
      <c r="C195" s="17">
        <v>2</v>
      </c>
      <c r="D195" s="17">
        <v>2</v>
      </c>
      <c r="E195" s="17">
        <v>0</v>
      </c>
      <c r="F195" s="17">
        <v>6</v>
      </c>
      <c r="G195" s="17"/>
      <c r="H195" s="18" t="s">
        <v>228</v>
      </c>
      <c r="I195" s="91" t="s">
        <v>265</v>
      </c>
      <c r="J195" s="29"/>
      <c r="K195" s="29"/>
      <c r="L195" s="29">
        <v>1</v>
      </c>
      <c r="M195" s="29">
        <v>1</v>
      </c>
      <c r="N195" s="29"/>
      <c r="O195" s="29"/>
      <c r="P195" s="29"/>
      <c r="Q195" s="29"/>
      <c r="R195" s="29"/>
      <c r="S195" s="29">
        <v>2</v>
      </c>
      <c r="T195" s="20">
        <v>2019</v>
      </c>
      <c r="V195" s="16"/>
    </row>
    <row r="196" spans="1:22" ht="30">
      <c r="A196" s="17" t="s">
        <v>337</v>
      </c>
      <c r="B196" s="17">
        <v>1</v>
      </c>
      <c r="C196" s="17">
        <v>2</v>
      </c>
      <c r="D196" s="17">
        <v>2</v>
      </c>
      <c r="E196" s="17">
        <v>0</v>
      </c>
      <c r="F196" s="17">
        <v>6</v>
      </c>
      <c r="G196" s="17"/>
      <c r="H196" s="18" t="s">
        <v>438</v>
      </c>
      <c r="I196" s="91" t="s">
        <v>224</v>
      </c>
      <c r="J196" s="19"/>
      <c r="K196" s="19">
        <v>0</v>
      </c>
      <c r="L196" s="19">
        <v>0</v>
      </c>
      <c r="M196" s="62"/>
      <c r="N196" s="62">
        <v>0.753</v>
      </c>
      <c r="O196" s="19"/>
      <c r="P196" s="19"/>
      <c r="Q196" s="19"/>
      <c r="R196" s="19"/>
      <c r="S196" s="62">
        <f aca="true" t="shared" si="46" ref="S196:S210">SUM(J196:R196)</f>
        <v>0.753</v>
      </c>
      <c r="T196" s="20">
        <v>2020</v>
      </c>
      <c r="V196" s="16"/>
    </row>
    <row r="197" spans="1:22" ht="30">
      <c r="A197" s="17" t="s">
        <v>337</v>
      </c>
      <c r="B197" s="17">
        <v>1</v>
      </c>
      <c r="C197" s="17">
        <v>2</v>
      </c>
      <c r="D197" s="17">
        <v>2</v>
      </c>
      <c r="E197" s="17">
        <v>0</v>
      </c>
      <c r="F197" s="17">
        <v>6</v>
      </c>
      <c r="G197" s="17"/>
      <c r="H197" s="18" t="s">
        <v>326</v>
      </c>
      <c r="I197" s="91" t="s">
        <v>224</v>
      </c>
      <c r="J197" s="19"/>
      <c r="K197" s="19"/>
      <c r="L197" s="19"/>
      <c r="M197" s="62"/>
      <c r="N197" s="62"/>
      <c r="O197" s="19">
        <v>1.7</v>
      </c>
      <c r="P197" s="19"/>
      <c r="Q197" s="19"/>
      <c r="R197" s="19"/>
      <c r="S197" s="19">
        <f t="shared" si="46"/>
        <v>1.7</v>
      </c>
      <c r="T197" s="20">
        <v>2021</v>
      </c>
      <c r="V197" s="16"/>
    </row>
    <row r="198" spans="1:20" ht="45">
      <c r="A198" s="17" t="s">
        <v>337</v>
      </c>
      <c r="B198" s="17">
        <v>1</v>
      </c>
      <c r="C198" s="17">
        <v>2</v>
      </c>
      <c r="D198" s="17">
        <v>2</v>
      </c>
      <c r="E198" s="17">
        <v>0</v>
      </c>
      <c r="F198" s="17">
        <v>7</v>
      </c>
      <c r="G198" s="17"/>
      <c r="H198" s="18" t="s">
        <v>449</v>
      </c>
      <c r="I198" s="91" t="s">
        <v>264</v>
      </c>
      <c r="J198" s="21">
        <f>SUM(J199:J201)</f>
        <v>0</v>
      </c>
      <c r="K198" s="21">
        <f aca="true" t="shared" si="47" ref="K198:R198">SUM(K199:K201)</f>
        <v>0</v>
      </c>
      <c r="L198" s="21">
        <f t="shared" si="47"/>
        <v>0</v>
      </c>
      <c r="M198" s="21">
        <f t="shared" si="47"/>
        <v>4038.2</v>
      </c>
      <c r="N198" s="21">
        <f t="shared" si="47"/>
        <v>13204.1</v>
      </c>
      <c r="O198" s="21">
        <f t="shared" si="47"/>
        <v>309928.6</v>
      </c>
      <c r="P198" s="21">
        <f t="shared" si="47"/>
        <v>0</v>
      </c>
      <c r="Q198" s="21">
        <f t="shared" si="47"/>
        <v>0</v>
      </c>
      <c r="R198" s="21">
        <f t="shared" si="47"/>
        <v>0</v>
      </c>
      <c r="S198" s="24">
        <f aca="true" t="shared" si="48" ref="S198:S204">SUM(J198:R198)</f>
        <v>327170.89999999997</v>
      </c>
      <c r="T198" s="20">
        <v>2021</v>
      </c>
    </row>
    <row r="199" spans="1:20" ht="15">
      <c r="A199" s="17" t="s">
        <v>337</v>
      </c>
      <c r="B199" s="17">
        <v>1</v>
      </c>
      <c r="C199" s="17">
        <v>2</v>
      </c>
      <c r="D199" s="17">
        <v>2</v>
      </c>
      <c r="E199" s="17">
        <v>0</v>
      </c>
      <c r="F199" s="17">
        <v>7</v>
      </c>
      <c r="G199" s="17">
        <v>1</v>
      </c>
      <c r="H199" s="18" t="s">
        <v>222</v>
      </c>
      <c r="I199" s="91" t="s">
        <v>264</v>
      </c>
      <c r="J199" s="21"/>
      <c r="K199" s="23"/>
      <c r="L199" s="63"/>
      <c r="M199" s="8"/>
      <c r="N199" s="63">
        <v>10000</v>
      </c>
      <c r="O199" s="63">
        <v>299810</v>
      </c>
      <c r="P199" s="63"/>
      <c r="Q199" s="63"/>
      <c r="R199" s="63"/>
      <c r="S199" s="24">
        <f t="shared" si="48"/>
        <v>309810</v>
      </c>
      <c r="T199" s="20"/>
    </row>
    <row r="200" spans="1:20" ht="15">
      <c r="A200" s="17" t="s">
        <v>337</v>
      </c>
      <c r="B200" s="17">
        <v>1</v>
      </c>
      <c r="C200" s="17">
        <v>2</v>
      </c>
      <c r="D200" s="17">
        <v>2</v>
      </c>
      <c r="E200" s="17">
        <v>0</v>
      </c>
      <c r="F200" s="17">
        <v>7</v>
      </c>
      <c r="G200" s="17">
        <v>2</v>
      </c>
      <c r="H200" s="18" t="s">
        <v>233</v>
      </c>
      <c r="I200" s="91" t="s">
        <v>264</v>
      </c>
      <c r="J200" s="21"/>
      <c r="K200" s="23"/>
      <c r="L200" s="63"/>
      <c r="M200" s="8"/>
      <c r="N200" s="63">
        <v>204.1</v>
      </c>
      <c r="O200" s="63">
        <v>6118.6</v>
      </c>
      <c r="P200" s="63"/>
      <c r="Q200" s="63"/>
      <c r="R200" s="63"/>
      <c r="S200" s="24">
        <f t="shared" si="48"/>
        <v>6322.700000000001</v>
      </c>
      <c r="T200" s="20">
        <v>2021</v>
      </c>
    </row>
    <row r="201" spans="1:20" ht="15">
      <c r="A201" s="17" t="s">
        <v>337</v>
      </c>
      <c r="B201" s="17">
        <v>1</v>
      </c>
      <c r="C201" s="17">
        <v>2</v>
      </c>
      <c r="D201" s="17">
        <v>2</v>
      </c>
      <c r="E201" s="17">
        <v>0</v>
      </c>
      <c r="F201" s="17">
        <v>7</v>
      </c>
      <c r="G201" s="17">
        <v>3</v>
      </c>
      <c r="H201" s="18" t="s">
        <v>234</v>
      </c>
      <c r="I201" s="91" t="s">
        <v>264</v>
      </c>
      <c r="J201" s="21"/>
      <c r="K201" s="23"/>
      <c r="L201" s="63"/>
      <c r="M201" s="8">
        <v>4038.2</v>
      </c>
      <c r="N201" s="63">
        <v>3000</v>
      </c>
      <c r="O201" s="63">
        <v>4000</v>
      </c>
      <c r="P201" s="63"/>
      <c r="Q201" s="63"/>
      <c r="R201" s="63"/>
      <c r="S201" s="24">
        <f t="shared" si="48"/>
        <v>11038.2</v>
      </c>
      <c r="T201" s="20">
        <v>2021</v>
      </c>
    </row>
    <row r="202" spans="1:20" ht="15">
      <c r="A202" s="17" t="s">
        <v>337</v>
      </c>
      <c r="B202" s="17">
        <v>1</v>
      </c>
      <c r="C202" s="17">
        <v>2</v>
      </c>
      <c r="D202" s="17">
        <v>2</v>
      </c>
      <c r="E202" s="17">
        <v>0</v>
      </c>
      <c r="F202" s="17">
        <v>7</v>
      </c>
      <c r="G202" s="17"/>
      <c r="H202" s="18" t="s">
        <v>103</v>
      </c>
      <c r="I202" s="91" t="s">
        <v>399</v>
      </c>
      <c r="J202" s="21"/>
      <c r="K202" s="23"/>
      <c r="L202" s="63"/>
      <c r="M202" s="58">
        <v>1</v>
      </c>
      <c r="N202" s="63"/>
      <c r="O202" s="63"/>
      <c r="P202" s="63"/>
      <c r="Q202" s="63"/>
      <c r="R202" s="63"/>
      <c r="S202" s="24">
        <f t="shared" si="48"/>
        <v>1</v>
      </c>
      <c r="T202" s="20">
        <v>2019</v>
      </c>
    </row>
    <row r="203" spans="1:20" ht="30">
      <c r="A203" s="17" t="s">
        <v>337</v>
      </c>
      <c r="B203" s="17">
        <v>1</v>
      </c>
      <c r="C203" s="17">
        <v>2</v>
      </c>
      <c r="D203" s="17">
        <v>2</v>
      </c>
      <c r="E203" s="17">
        <v>0</v>
      </c>
      <c r="F203" s="17">
        <v>7</v>
      </c>
      <c r="G203" s="17"/>
      <c r="H203" s="18" t="s">
        <v>13</v>
      </c>
      <c r="I203" s="91" t="s">
        <v>224</v>
      </c>
      <c r="J203" s="21"/>
      <c r="K203" s="23"/>
      <c r="L203" s="63"/>
      <c r="M203" s="8"/>
      <c r="N203" s="63">
        <v>2.25</v>
      </c>
      <c r="O203" s="63"/>
      <c r="P203" s="63"/>
      <c r="Q203" s="63"/>
      <c r="R203" s="63"/>
      <c r="S203" s="24">
        <f t="shared" si="48"/>
        <v>2.25</v>
      </c>
      <c r="T203" s="20">
        <v>2020</v>
      </c>
    </row>
    <row r="204" spans="1:20" ht="30">
      <c r="A204" s="17" t="s">
        <v>337</v>
      </c>
      <c r="B204" s="17">
        <v>1</v>
      </c>
      <c r="C204" s="17">
        <v>2</v>
      </c>
      <c r="D204" s="17">
        <v>2</v>
      </c>
      <c r="E204" s="17">
        <v>0</v>
      </c>
      <c r="F204" s="17">
        <v>7</v>
      </c>
      <c r="G204" s="17"/>
      <c r="H204" s="18" t="s">
        <v>12</v>
      </c>
      <c r="I204" s="91" t="s">
        <v>224</v>
      </c>
      <c r="J204" s="21"/>
      <c r="K204" s="23"/>
      <c r="L204" s="63"/>
      <c r="M204" s="8"/>
      <c r="N204" s="63"/>
      <c r="O204" s="63">
        <v>3.73</v>
      </c>
      <c r="P204" s="63"/>
      <c r="Q204" s="63"/>
      <c r="R204" s="63"/>
      <c r="S204" s="24">
        <f t="shared" si="48"/>
        <v>3.73</v>
      </c>
      <c r="T204" s="20">
        <v>2021</v>
      </c>
    </row>
    <row r="205" spans="1:22" ht="30">
      <c r="A205" s="17" t="s">
        <v>337</v>
      </c>
      <c r="B205" s="17">
        <v>1</v>
      </c>
      <c r="C205" s="17">
        <v>2</v>
      </c>
      <c r="D205" s="17">
        <v>2</v>
      </c>
      <c r="E205" s="17">
        <v>0</v>
      </c>
      <c r="F205" s="17">
        <v>8</v>
      </c>
      <c r="G205" s="17"/>
      <c r="H205" s="18" t="s">
        <v>450</v>
      </c>
      <c r="I205" s="91" t="s">
        <v>264</v>
      </c>
      <c r="J205" s="21">
        <f aca="true" t="shared" si="49" ref="J205:R205">J207+J208+J206</f>
        <v>499.99999999999994</v>
      </c>
      <c r="K205" s="21">
        <f t="shared" si="49"/>
        <v>0</v>
      </c>
      <c r="L205" s="21">
        <f t="shared" si="49"/>
        <v>0</v>
      </c>
      <c r="M205" s="21">
        <f t="shared" si="49"/>
        <v>0</v>
      </c>
      <c r="N205" s="21">
        <f t="shared" si="49"/>
        <v>64032.899999999994</v>
      </c>
      <c r="O205" s="21">
        <f t="shared" si="49"/>
        <v>0</v>
      </c>
      <c r="P205" s="21">
        <f t="shared" si="49"/>
        <v>0</v>
      </c>
      <c r="Q205" s="21">
        <f t="shared" si="49"/>
        <v>0</v>
      </c>
      <c r="R205" s="21">
        <f t="shared" si="49"/>
        <v>0</v>
      </c>
      <c r="S205" s="19">
        <f t="shared" si="46"/>
        <v>64532.899999999994</v>
      </c>
      <c r="T205" s="20">
        <v>2020</v>
      </c>
      <c r="V205" s="16"/>
    </row>
    <row r="206" spans="1:22" ht="15">
      <c r="A206" s="17" t="s">
        <v>337</v>
      </c>
      <c r="B206" s="17">
        <v>1</v>
      </c>
      <c r="C206" s="17">
        <v>2</v>
      </c>
      <c r="D206" s="17">
        <v>2</v>
      </c>
      <c r="E206" s="17">
        <v>0</v>
      </c>
      <c r="F206" s="17">
        <v>9</v>
      </c>
      <c r="G206" s="17">
        <v>1</v>
      </c>
      <c r="H206" s="18" t="s">
        <v>222</v>
      </c>
      <c r="I206" s="91" t="s">
        <v>264</v>
      </c>
      <c r="J206" s="21"/>
      <c r="K206" s="21"/>
      <c r="L206" s="21"/>
      <c r="M206" s="21"/>
      <c r="N206" s="21">
        <v>54939.6</v>
      </c>
      <c r="O206" s="21"/>
      <c r="P206" s="21"/>
      <c r="Q206" s="21"/>
      <c r="R206" s="21"/>
      <c r="S206" s="19"/>
      <c r="T206" s="20"/>
      <c r="V206" s="16"/>
    </row>
    <row r="207" spans="1:22" ht="15">
      <c r="A207" s="17" t="s">
        <v>337</v>
      </c>
      <c r="B207" s="17">
        <v>1</v>
      </c>
      <c r="C207" s="17">
        <v>2</v>
      </c>
      <c r="D207" s="17">
        <v>2</v>
      </c>
      <c r="E207" s="17">
        <v>0</v>
      </c>
      <c r="F207" s="17">
        <v>8</v>
      </c>
      <c r="G207" s="17">
        <v>2</v>
      </c>
      <c r="H207" s="18" t="s">
        <v>233</v>
      </c>
      <c r="I207" s="91" t="s">
        <v>264</v>
      </c>
      <c r="J207" s="21"/>
      <c r="K207" s="21"/>
      <c r="L207" s="8"/>
      <c r="M207" s="8"/>
      <c r="N207" s="8">
        <v>6093.3</v>
      </c>
      <c r="O207" s="8"/>
      <c r="P207" s="8"/>
      <c r="Q207" s="8"/>
      <c r="R207" s="8"/>
      <c r="S207" s="19">
        <f t="shared" si="46"/>
        <v>6093.3</v>
      </c>
      <c r="T207" s="20">
        <v>2020</v>
      </c>
      <c r="V207" s="16"/>
    </row>
    <row r="208" spans="1:22" ht="15">
      <c r="A208" s="17" t="s">
        <v>337</v>
      </c>
      <c r="B208" s="17">
        <v>1</v>
      </c>
      <c r="C208" s="17">
        <v>2</v>
      </c>
      <c r="D208" s="17">
        <v>2</v>
      </c>
      <c r="E208" s="17">
        <v>0</v>
      </c>
      <c r="F208" s="17">
        <v>8</v>
      </c>
      <c r="G208" s="17">
        <v>3</v>
      </c>
      <c r="H208" s="18" t="s">
        <v>234</v>
      </c>
      <c r="I208" s="91" t="s">
        <v>264</v>
      </c>
      <c r="J208" s="21">
        <f>528.3-28.3</f>
        <v>499.99999999999994</v>
      </c>
      <c r="K208" s="21"/>
      <c r="L208" s="8"/>
      <c r="M208" s="8"/>
      <c r="N208" s="8">
        <v>3000</v>
      </c>
      <c r="O208" s="8"/>
      <c r="P208" s="8"/>
      <c r="Q208" s="8"/>
      <c r="R208" s="8"/>
      <c r="S208" s="19">
        <f t="shared" si="46"/>
        <v>3500</v>
      </c>
      <c r="T208" s="20">
        <v>2020</v>
      </c>
      <c r="V208" s="16"/>
    </row>
    <row r="209" spans="1:22" ht="15">
      <c r="A209" s="17" t="s">
        <v>337</v>
      </c>
      <c r="B209" s="17">
        <v>1</v>
      </c>
      <c r="C209" s="17">
        <v>2</v>
      </c>
      <c r="D209" s="17">
        <v>2</v>
      </c>
      <c r="E209" s="17">
        <v>0</v>
      </c>
      <c r="F209" s="17">
        <v>8</v>
      </c>
      <c r="G209" s="17"/>
      <c r="H209" s="18" t="s">
        <v>103</v>
      </c>
      <c r="I209" s="91" t="s">
        <v>265</v>
      </c>
      <c r="J209" s="29">
        <v>1</v>
      </c>
      <c r="K209" s="29"/>
      <c r="L209" s="29"/>
      <c r="M209" s="29"/>
      <c r="N209" s="29"/>
      <c r="O209" s="29"/>
      <c r="P209" s="29"/>
      <c r="Q209" s="29"/>
      <c r="R209" s="29"/>
      <c r="S209" s="19">
        <f t="shared" si="46"/>
        <v>1</v>
      </c>
      <c r="T209" s="20">
        <v>2016</v>
      </c>
      <c r="V209" s="16"/>
    </row>
    <row r="210" spans="1:22" ht="30">
      <c r="A210" s="17" t="s">
        <v>337</v>
      </c>
      <c r="B210" s="17">
        <v>1</v>
      </c>
      <c r="C210" s="17">
        <v>2</v>
      </c>
      <c r="D210" s="17">
        <v>2</v>
      </c>
      <c r="E210" s="17">
        <v>0</v>
      </c>
      <c r="F210" s="17">
        <v>8</v>
      </c>
      <c r="G210" s="17"/>
      <c r="H210" s="18" t="s">
        <v>374</v>
      </c>
      <c r="I210" s="91" t="s">
        <v>401</v>
      </c>
      <c r="J210" s="19"/>
      <c r="K210" s="19"/>
      <c r="L210" s="19"/>
      <c r="M210" s="19"/>
      <c r="N210" s="19">
        <v>2888.2</v>
      </c>
      <c r="O210" s="19"/>
      <c r="P210" s="19"/>
      <c r="Q210" s="19"/>
      <c r="R210" s="19"/>
      <c r="S210" s="19">
        <f t="shared" si="46"/>
        <v>2888.2</v>
      </c>
      <c r="T210" s="20">
        <v>2020</v>
      </c>
      <c r="V210" s="16"/>
    </row>
    <row r="211" spans="1:22" ht="45">
      <c r="A211" s="17" t="s">
        <v>337</v>
      </c>
      <c r="B211" s="17">
        <v>1</v>
      </c>
      <c r="C211" s="17">
        <v>2</v>
      </c>
      <c r="D211" s="17">
        <v>2</v>
      </c>
      <c r="E211" s="17">
        <v>0</v>
      </c>
      <c r="F211" s="17">
        <v>9</v>
      </c>
      <c r="G211" s="17"/>
      <c r="H211" s="18" t="s">
        <v>447</v>
      </c>
      <c r="I211" s="91" t="s">
        <v>264</v>
      </c>
      <c r="J211" s="21">
        <f>J213+J214</f>
        <v>0</v>
      </c>
      <c r="K211" s="21">
        <f>K213+K214</f>
        <v>0</v>
      </c>
      <c r="L211" s="21">
        <f aca="true" t="shared" si="50" ref="L211:R211">L213+L214+L212</f>
        <v>46165</v>
      </c>
      <c r="M211" s="21">
        <f t="shared" si="50"/>
        <v>126174.6</v>
      </c>
      <c r="N211" s="21">
        <f t="shared" si="50"/>
        <v>0</v>
      </c>
      <c r="O211" s="21">
        <f t="shared" si="50"/>
        <v>0</v>
      </c>
      <c r="P211" s="21">
        <f t="shared" si="50"/>
        <v>0</v>
      </c>
      <c r="Q211" s="21">
        <f t="shared" si="50"/>
        <v>0</v>
      </c>
      <c r="R211" s="21">
        <f t="shared" si="50"/>
        <v>0</v>
      </c>
      <c r="S211" s="19">
        <f>SUM(K211:R211)</f>
        <v>172339.6</v>
      </c>
      <c r="T211" s="20">
        <v>2019</v>
      </c>
      <c r="V211" s="16"/>
    </row>
    <row r="212" spans="1:22" ht="15">
      <c r="A212" s="17" t="s">
        <v>337</v>
      </c>
      <c r="B212" s="17">
        <v>1</v>
      </c>
      <c r="C212" s="17">
        <v>2</v>
      </c>
      <c r="D212" s="17">
        <v>2</v>
      </c>
      <c r="E212" s="17">
        <v>0</v>
      </c>
      <c r="F212" s="17">
        <v>9</v>
      </c>
      <c r="G212" s="17">
        <v>1</v>
      </c>
      <c r="H212" s="18" t="s">
        <v>222</v>
      </c>
      <c r="I212" s="91" t="s">
        <v>264</v>
      </c>
      <c r="J212" s="21"/>
      <c r="K212" s="21"/>
      <c r="L212" s="21">
        <v>31958</v>
      </c>
      <c r="M212" s="21"/>
      <c r="N212" s="21"/>
      <c r="O212" s="21"/>
      <c r="P212" s="21"/>
      <c r="Q212" s="21"/>
      <c r="R212" s="21"/>
      <c r="S212" s="19">
        <f aca="true" t="shared" si="51" ref="S212:S219">SUM(K212:R212)</f>
        <v>31958</v>
      </c>
      <c r="T212" s="20">
        <v>2018</v>
      </c>
      <c r="V212" s="16"/>
    </row>
    <row r="213" spans="1:22" ht="15">
      <c r="A213" s="17" t="s">
        <v>337</v>
      </c>
      <c r="B213" s="17">
        <v>1</v>
      </c>
      <c r="C213" s="17">
        <v>2</v>
      </c>
      <c r="D213" s="17">
        <v>2</v>
      </c>
      <c r="E213" s="17">
        <v>0</v>
      </c>
      <c r="F213" s="17">
        <v>9</v>
      </c>
      <c r="G213" s="17">
        <v>2</v>
      </c>
      <c r="H213" s="18" t="s">
        <v>233</v>
      </c>
      <c r="I213" s="91" t="s">
        <v>264</v>
      </c>
      <c r="J213" s="21"/>
      <c r="K213" s="21"/>
      <c r="L213" s="21">
        <v>3550.9</v>
      </c>
      <c r="M213" s="21">
        <v>97961.1</v>
      </c>
      <c r="N213" s="21"/>
      <c r="O213" s="21"/>
      <c r="P213" s="21"/>
      <c r="Q213" s="21"/>
      <c r="R213" s="21"/>
      <c r="S213" s="19">
        <f t="shared" si="51"/>
        <v>101512</v>
      </c>
      <c r="T213" s="20">
        <v>2019</v>
      </c>
      <c r="V213" s="16"/>
    </row>
    <row r="214" spans="1:22" ht="15">
      <c r="A214" s="17" t="s">
        <v>337</v>
      </c>
      <c r="B214" s="17">
        <v>1</v>
      </c>
      <c r="C214" s="17">
        <v>2</v>
      </c>
      <c r="D214" s="17">
        <v>2</v>
      </c>
      <c r="E214" s="17">
        <v>0</v>
      </c>
      <c r="F214" s="17">
        <v>9</v>
      </c>
      <c r="G214" s="17">
        <v>3</v>
      </c>
      <c r="H214" s="18" t="s">
        <v>234</v>
      </c>
      <c r="I214" s="91" t="s">
        <v>264</v>
      </c>
      <c r="J214" s="21"/>
      <c r="K214" s="21"/>
      <c r="L214" s="21">
        <f>10656.2-0.1</f>
        <v>10656.1</v>
      </c>
      <c r="M214" s="21">
        <f>28212.8+0.7</f>
        <v>28213.5</v>
      </c>
      <c r="N214" s="21"/>
      <c r="O214" s="21"/>
      <c r="P214" s="21"/>
      <c r="Q214" s="21"/>
      <c r="R214" s="21"/>
      <c r="S214" s="19">
        <f t="shared" si="51"/>
        <v>38869.6</v>
      </c>
      <c r="T214" s="20">
        <v>2019</v>
      </c>
      <c r="V214" s="16"/>
    </row>
    <row r="215" spans="1:22" ht="30">
      <c r="A215" s="17" t="s">
        <v>337</v>
      </c>
      <c r="B215" s="17">
        <v>1</v>
      </c>
      <c r="C215" s="17">
        <v>2</v>
      </c>
      <c r="D215" s="17">
        <v>2</v>
      </c>
      <c r="E215" s="17">
        <v>0</v>
      </c>
      <c r="F215" s="17">
        <v>9</v>
      </c>
      <c r="G215" s="17"/>
      <c r="H215" s="18" t="s">
        <v>439</v>
      </c>
      <c r="I215" s="91" t="s">
        <v>224</v>
      </c>
      <c r="J215" s="21"/>
      <c r="K215" s="21"/>
      <c r="L215" s="21">
        <v>1.901</v>
      </c>
      <c r="M215" s="21"/>
      <c r="N215" s="21"/>
      <c r="O215" s="21"/>
      <c r="P215" s="21"/>
      <c r="Q215" s="21"/>
      <c r="R215" s="21"/>
      <c r="S215" s="19">
        <f t="shared" si="51"/>
        <v>1.901</v>
      </c>
      <c r="T215" s="20">
        <v>2018</v>
      </c>
      <c r="V215" s="16"/>
    </row>
    <row r="216" spans="1:22" ht="15">
      <c r="A216" s="17" t="s">
        <v>337</v>
      </c>
      <c r="B216" s="17">
        <v>1</v>
      </c>
      <c r="C216" s="17">
        <v>2</v>
      </c>
      <c r="D216" s="17">
        <v>2</v>
      </c>
      <c r="E216" s="17">
        <v>0</v>
      </c>
      <c r="F216" s="17">
        <v>9</v>
      </c>
      <c r="G216" s="17"/>
      <c r="H216" s="18" t="s">
        <v>231</v>
      </c>
      <c r="I216" s="91" t="s">
        <v>401</v>
      </c>
      <c r="J216" s="21"/>
      <c r="K216" s="21"/>
      <c r="L216" s="63"/>
      <c r="M216" s="63">
        <v>22685.58</v>
      </c>
      <c r="N216" s="17"/>
      <c r="O216" s="17"/>
      <c r="P216" s="17"/>
      <c r="Q216" s="17"/>
      <c r="R216" s="17"/>
      <c r="S216" s="19">
        <f t="shared" si="51"/>
        <v>22685.58</v>
      </c>
      <c r="T216" s="20">
        <v>2019</v>
      </c>
      <c r="V216" s="16"/>
    </row>
    <row r="217" spans="1:22" ht="30">
      <c r="A217" s="17" t="s">
        <v>337</v>
      </c>
      <c r="B217" s="17">
        <v>1</v>
      </c>
      <c r="C217" s="17">
        <v>2</v>
      </c>
      <c r="D217" s="17">
        <v>2</v>
      </c>
      <c r="E217" s="17">
        <v>0</v>
      </c>
      <c r="F217" s="17">
        <v>9</v>
      </c>
      <c r="G217" s="17"/>
      <c r="H217" s="18" t="s">
        <v>232</v>
      </c>
      <c r="I217" s="91" t="s">
        <v>409</v>
      </c>
      <c r="J217" s="21"/>
      <c r="K217" s="21"/>
      <c r="L217" s="63"/>
      <c r="M217" s="8">
        <f>172+29</f>
        <v>201</v>
      </c>
      <c r="N217" s="17"/>
      <c r="O217" s="17"/>
      <c r="P217" s="17"/>
      <c r="Q217" s="17"/>
      <c r="R217" s="17"/>
      <c r="S217" s="19">
        <f t="shared" si="51"/>
        <v>201</v>
      </c>
      <c r="T217" s="20">
        <v>2019</v>
      </c>
      <c r="V217" s="16"/>
    </row>
    <row r="218" spans="1:22" ht="30">
      <c r="A218" s="17" t="s">
        <v>337</v>
      </c>
      <c r="B218" s="17">
        <v>1</v>
      </c>
      <c r="C218" s="17">
        <v>2</v>
      </c>
      <c r="D218" s="17">
        <v>2</v>
      </c>
      <c r="E218" s="17">
        <v>0</v>
      </c>
      <c r="F218" s="17">
        <v>9</v>
      </c>
      <c r="G218" s="17"/>
      <c r="H218" s="18" t="s">
        <v>120</v>
      </c>
      <c r="I218" s="91" t="s">
        <v>409</v>
      </c>
      <c r="J218" s="21"/>
      <c r="K218" s="21"/>
      <c r="L218" s="63"/>
      <c r="M218" s="8">
        <v>113</v>
      </c>
      <c r="N218" s="17"/>
      <c r="O218" s="17"/>
      <c r="P218" s="17"/>
      <c r="Q218" s="17"/>
      <c r="R218" s="17"/>
      <c r="S218" s="19">
        <f t="shared" si="51"/>
        <v>113</v>
      </c>
      <c r="T218" s="20">
        <v>2019</v>
      </c>
      <c r="V218" s="16"/>
    </row>
    <row r="219" spans="1:22" ht="30">
      <c r="A219" s="17" t="s">
        <v>337</v>
      </c>
      <c r="B219" s="17">
        <v>1</v>
      </c>
      <c r="C219" s="17">
        <v>2</v>
      </c>
      <c r="D219" s="17">
        <v>2</v>
      </c>
      <c r="E219" s="17">
        <v>0</v>
      </c>
      <c r="F219" s="17">
        <v>9</v>
      </c>
      <c r="G219" s="17"/>
      <c r="H219" s="18" t="s">
        <v>444</v>
      </c>
      <c r="I219" s="91" t="s">
        <v>409</v>
      </c>
      <c r="J219" s="21"/>
      <c r="K219" s="21"/>
      <c r="L219" s="63"/>
      <c r="M219" s="8">
        <v>2</v>
      </c>
      <c r="N219" s="17"/>
      <c r="O219" s="17"/>
      <c r="P219" s="17"/>
      <c r="Q219" s="17"/>
      <c r="R219" s="17"/>
      <c r="S219" s="19">
        <f t="shared" si="51"/>
        <v>2</v>
      </c>
      <c r="T219" s="20">
        <v>2019</v>
      </c>
      <c r="V219" s="16"/>
    </row>
    <row r="220" spans="1:22" ht="45">
      <c r="A220" s="17" t="s">
        <v>337</v>
      </c>
      <c r="B220" s="17">
        <v>1</v>
      </c>
      <c r="C220" s="17">
        <v>2</v>
      </c>
      <c r="D220" s="17">
        <v>2</v>
      </c>
      <c r="E220" s="17">
        <v>1</v>
      </c>
      <c r="F220" s="17">
        <v>0</v>
      </c>
      <c r="G220" s="17">
        <v>3</v>
      </c>
      <c r="H220" s="18" t="s">
        <v>367</v>
      </c>
      <c r="I220" s="91" t="s">
        <v>264</v>
      </c>
      <c r="J220" s="21">
        <v>0</v>
      </c>
      <c r="K220" s="21">
        <v>665.6</v>
      </c>
      <c r="L220" s="21">
        <v>90.1</v>
      </c>
      <c r="M220" s="21">
        <v>0</v>
      </c>
      <c r="N220" s="21">
        <v>0</v>
      </c>
      <c r="O220" s="21">
        <v>0</v>
      </c>
      <c r="P220" s="21"/>
      <c r="Q220" s="21"/>
      <c r="R220" s="21"/>
      <c r="S220" s="19">
        <f aca="true" t="shared" si="52" ref="S220:S227">SUM(J220:O220)</f>
        <v>755.7</v>
      </c>
      <c r="T220" s="20">
        <v>2018</v>
      </c>
      <c r="V220" s="16"/>
    </row>
    <row r="221" spans="1:22" ht="30">
      <c r="A221" s="17" t="s">
        <v>337</v>
      </c>
      <c r="B221" s="17">
        <v>1</v>
      </c>
      <c r="C221" s="17">
        <v>2</v>
      </c>
      <c r="D221" s="17">
        <v>2</v>
      </c>
      <c r="E221" s="17">
        <v>1</v>
      </c>
      <c r="F221" s="17">
        <v>0</v>
      </c>
      <c r="G221" s="17"/>
      <c r="H221" s="18" t="s">
        <v>75</v>
      </c>
      <c r="I221" s="91" t="s">
        <v>84</v>
      </c>
      <c r="J221" s="21"/>
      <c r="K221" s="23">
        <v>23.15</v>
      </c>
      <c r="L221" s="63"/>
      <c r="M221" s="63"/>
      <c r="N221" s="63"/>
      <c r="O221" s="63"/>
      <c r="P221" s="63"/>
      <c r="Q221" s="63"/>
      <c r="R221" s="63"/>
      <c r="S221" s="24">
        <f t="shared" si="52"/>
        <v>23.15</v>
      </c>
      <c r="T221" s="20">
        <v>2017</v>
      </c>
      <c r="V221" s="16"/>
    </row>
    <row r="222" spans="1:22" ht="30">
      <c r="A222" s="17" t="s">
        <v>337</v>
      </c>
      <c r="B222" s="17">
        <v>1</v>
      </c>
      <c r="C222" s="17">
        <v>2</v>
      </c>
      <c r="D222" s="17">
        <v>2</v>
      </c>
      <c r="E222" s="17">
        <v>1</v>
      </c>
      <c r="F222" s="17">
        <v>0</v>
      </c>
      <c r="G222" s="17"/>
      <c r="H222" s="18" t="s">
        <v>60</v>
      </c>
      <c r="I222" s="91" t="s">
        <v>263</v>
      </c>
      <c r="J222" s="30"/>
      <c r="K222" s="64"/>
      <c r="L222" s="63">
        <v>64</v>
      </c>
      <c r="M222" s="65"/>
      <c r="N222" s="65"/>
      <c r="O222" s="65"/>
      <c r="P222" s="65"/>
      <c r="Q222" s="65"/>
      <c r="R222" s="65"/>
      <c r="S222" s="24">
        <f t="shared" si="52"/>
        <v>64</v>
      </c>
      <c r="T222" s="20">
        <v>2018</v>
      </c>
      <c r="V222" s="16"/>
    </row>
    <row r="223" spans="1:22" ht="60">
      <c r="A223" s="17" t="s">
        <v>337</v>
      </c>
      <c r="B223" s="17">
        <v>1</v>
      </c>
      <c r="C223" s="17">
        <v>2</v>
      </c>
      <c r="D223" s="17">
        <v>2</v>
      </c>
      <c r="E223" s="17">
        <v>1</v>
      </c>
      <c r="F223" s="17">
        <v>1</v>
      </c>
      <c r="G223" s="17"/>
      <c r="H223" s="18" t="s">
        <v>0</v>
      </c>
      <c r="I223" s="91" t="s">
        <v>264</v>
      </c>
      <c r="J223" s="21"/>
      <c r="K223" s="23"/>
      <c r="L223" s="8">
        <f>SUM(L224:L226)</f>
        <v>72323.59999999999</v>
      </c>
      <c r="M223" s="8">
        <f>SUM(M224:M226)</f>
        <v>185408.5</v>
      </c>
      <c r="N223" s="63"/>
      <c r="O223" s="63"/>
      <c r="P223" s="63"/>
      <c r="Q223" s="63"/>
      <c r="R223" s="63"/>
      <c r="S223" s="24">
        <f t="shared" si="52"/>
        <v>257732.09999999998</v>
      </c>
      <c r="T223" s="20">
        <v>2019</v>
      </c>
      <c r="V223" s="16"/>
    </row>
    <row r="224" spans="1:22" ht="15">
      <c r="A224" s="17" t="s">
        <v>337</v>
      </c>
      <c r="B224" s="17">
        <v>1</v>
      </c>
      <c r="C224" s="17">
        <v>2</v>
      </c>
      <c r="D224" s="17">
        <v>2</v>
      </c>
      <c r="E224" s="17">
        <v>1</v>
      </c>
      <c r="F224" s="17">
        <v>1</v>
      </c>
      <c r="G224" s="17">
        <v>1</v>
      </c>
      <c r="H224" s="18" t="s">
        <v>222</v>
      </c>
      <c r="I224" s="91" t="s">
        <v>264</v>
      </c>
      <c r="J224" s="21"/>
      <c r="K224" s="23"/>
      <c r="L224" s="8">
        <v>50547.2</v>
      </c>
      <c r="M224" s="8"/>
      <c r="N224" s="63"/>
      <c r="O224" s="63"/>
      <c r="P224" s="63"/>
      <c r="Q224" s="63"/>
      <c r="R224" s="63"/>
      <c r="S224" s="24">
        <f t="shared" si="52"/>
        <v>50547.2</v>
      </c>
      <c r="T224" s="20">
        <v>2019</v>
      </c>
      <c r="V224" s="16"/>
    </row>
    <row r="225" spans="1:22" ht="15">
      <c r="A225" s="17" t="s">
        <v>337</v>
      </c>
      <c r="B225" s="17">
        <v>1</v>
      </c>
      <c r="C225" s="17">
        <v>2</v>
      </c>
      <c r="D225" s="17">
        <v>2</v>
      </c>
      <c r="E225" s="17">
        <v>1</v>
      </c>
      <c r="F225" s="17">
        <v>1</v>
      </c>
      <c r="G225" s="17">
        <v>2</v>
      </c>
      <c r="H225" s="18" t="s">
        <v>233</v>
      </c>
      <c r="I225" s="91" t="s">
        <v>264</v>
      </c>
      <c r="J225" s="21"/>
      <c r="K225" s="23"/>
      <c r="L225" s="8">
        <v>5653.7</v>
      </c>
      <c r="M225" s="8">
        <v>179492.5</v>
      </c>
      <c r="N225" s="63"/>
      <c r="O225" s="63"/>
      <c r="P225" s="63"/>
      <c r="Q225" s="63"/>
      <c r="R225" s="63"/>
      <c r="S225" s="24">
        <f t="shared" si="52"/>
        <v>185146.2</v>
      </c>
      <c r="T225" s="20">
        <v>2019</v>
      </c>
      <c r="V225" s="16"/>
    </row>
    <row r="226" spans="1:22" ht="15">
      <c r="A226" s="17" t="s">
        <v>337</v>
      </c>
      <c r="B226" s="17">
        <v>1</v>
      </c>
      <c r="C226" s="17">
        <v>2</v>
      </c>
      <c r="D226" s="17">
        <v>2</v>
      </c>
      <c r="E226" s="17">
        <v>1</v>
      </c>
      <c r="F226" s="17">
        <v>1</v>
      </c>
      <c r="G226" s="17">
        <v>3</v>
      </c>
      <c r="H226" s="18" t="s">
        <v>234</v>
      </c>
      <c r="I226" s="91" t="s">
        <v>264</v>
      </c>
      <c r="J226" s="21"/>
      <c r="K226" s="23"/>
      <c r="L226" s="8">
        <v>16122.7</v>
      </c>
      <c r="M226" s="8">
        <v>5916</v>
      </c>
      <c r="N226" s="63"/>
      <c r="O226" s="63"/>
      <c r="P226" s="63"/>
      <c r="Q226" s="63"/>
      <c r="R226" s="63"/>
      <c r="S226" s="24">
        <f t="shared" si="52"/>
        <v>22038.7</v>
      </c>
      <c r="T226" s="20">
        <v>2019</v>
      </c>
      <c r="V226" s="16"/>
    </row>
    <row r="227" spans="1:22" ht="30">
      <c r="A227" s="17" t="s">
        <v>337</v>
      </c>
      <c r="B227" s="17">
        <v>1</v>
      </c>
      <c r="C227" s="17">
        <v>2</v>
      </c>
      <c r="D227" s="17">
        <v>2</v>
      </c>
      <c r="E227" s="17">
        <v>1</v>
      </c>
      <c r="F227" s="17">
        <v>1</v>
      </c>
      <c r="G227" s="17"/>
      <c r="H227" s="18" t="s">
        <v>439</v>
      </c>
      <c r="I227" s="91" t="s">
        <v>224</v>
      </c>
      <c r="J227" s="21"/>
      <c r="K227" s="23"/>
      <c r="L227" s="63">
        <v>2.06</v>
      </c>
      <c r="M227" s="8"/>
      <c r="N227" s="63"/>
      <c r="O227" s="63"/>
      <c r="P227" s="63"/>
      <c r="Q227" s="63"/>
      <c r="R227" s="63"/>
      <c r="S227" s="24">
        <f t="shared" si="52"/>
        <v>2.06</v>
      </c>
      <c r="T227" s="20">
        <v>2018</v>
      </c>
      <c r="V227" s="16"/>
    </row>
    <row r="228" spans="1:22" ht="30">
      <c r="A228" s="17" t="s">
        <v>337</v>
      </c>
      <c r="B228" s="17">
        <v>1</v>
      </c>
      <c r="C228" s="17">
        <v>2</v>
      </c>
      <c r="D228" s="17">
        <v>2</v>
      </c>
      <c r="E228" s="17">
        <v>1</v>
      </c>
      <c r="F228" s="17">
        <v>1</v>
      </c>
      <c r="G228" s="17"/>
      <c r="H228" s="18" t="s">
        <v>229</v>
      </c>
      <c r="I228" s="91" t="s">
        <v>224</v>
      </c>
      <c r="J228" s="30"/>
      <c r="K228" s="64"/>
      <c r="L228" s="63"/>
      <c r="M228" s="63">
        <v>3.5</v>
      </c>
      <c r="N228" s="65"/>
      <c r="O228" s="65"/>
      <c r="P228" s="65"/>
      <c r="Q228" s="65"/>
      <c r="R228" s="65"/>
      <c r="S228" s="24">
        <f aca="true" t="shared" si="53" ref="S228:S233">SUM(J228:O228)</f>
        <v>3.5</v>
      </c>
      <c r="T228" s="20">
        <v>2019</v>
      </c>
      <c r="V228" s="16"/>
    </row>
    <row r="229" spans="1:22" ht="30">
      <c r="A229" s="17" t="s">
        <v>337</v>
      </c>
      <c r="B229" s="17">
        <v>1</v>
      </c>
      <c r="C229" s="17">
        <v>2</v>
      </c>
      <c r="D229" s="17">
        <v>2</v>
      </c>
      <c r="E229" s="17">
        <v>1</v>
      </c>
      <c r="F229" s="17">
        <v>2</v>
      </c>
      <c r="G229" s="17"/>
      <c r="H229" s="18" t="s">
        <v>384</v>
      </c>
      <c r="I229" s="91" t="s">
        <v>264</v>
      </c>
      <c r="J229" s="21"/>
      <c r="K229" s="23"/>
      <c r="L229" s="63"/>
      <c r="M229" s="8">
        <f>SUM(M230:M232)</f>
        <v>34696.5</v>
      </c>
      <c r="N229" s="63"/>
      <c r="O229" s="63"/>
      <c r="P229" s="63"/>
      <c r="Q229" s="63"/>
      <c r="R229" s="63"/>
      <c r="S229" s="24">
        <f t="shared" si="53"/>
        <v>34696.5</v>
      </c>
      <c r="T229" s="20">
        <v>2019</v>
      </c>
      <c r="V229" s="16"/>
    </row>
    <row r="230" spans="1:20" ht="15">
      <c r="A230" s="17" t="s">
        <v>337</v>
      </c>
      <c r="B230" s="17">
        <v>1</v>
      </c>
      <c r="C230" s="17">
        <v>2</v>
      </c>
      <c r="D230" s="17">
        <v>2</v>
      </c>
      <c r="E230" s="17">
        <v>1</v>
      </c>
      <c r="F230" s="17">
        <v>2</v>
      </c>
      <c r="G230" s="17">
        <v>1</v>
      </c>
      <c r="H230" s="18" t="s">
        <v>222</v>
      </c>
      <c r="I230" s="91" t="s">
        <v>264</v>
      </c>
      <c r="J230" s="21"/>
      <c r="K230" s="23"/>
      <c r="L230" s="63"/>
      <c r="M230" s="8">
        <v>0</v>
      </c>
      <c r="N230" s="63"/>
      <c r="O230" s="63"/>
      <c r="P230" s="63"/>
      <c r="Q230" s="63"/>
      <c r="R230" s="63"/>
      <c r="S230" s="24">
        <f t="shared" si="53"/>
        <v>0</v>
      </c>
      <c r="T230" s="20">
        <v>2019</v>
      </c>
    </row>
    <row r="231" spans="1:20" ht="15">
      <c r="A231" s="17" t="s">
        <v>337</v>
      </c>
      <c r="B231" s="17">
        <v>1</v>
      </c>
      <c r="C231" s="17">
        <v>2</v>
      </c>
      <c r="D231" s="17">
        <v>2</v>
      </c>
      <c r="E231" s="17">
        <v>1</v>
      </c>
      <c r="F231" s="17">
        <v>2</v>
      </c>
      <c r="G231" s="17">
        <v>2</v>
      </c>
      <c r="H231" s="18" t="s">
        <v>233</v>
      </c>
      <c r="I231" s="91" t="s">
        <v>264</v>
      </c>
      <c r="J231" s="21"/>
      <c r="K231" s="23"/>
      <c r="L231" s="63"/>
      <c r="M231" s="8">
        <v>31234.3</v>
      </c>
      <c r="N231" s="63"/>
      <c r="O231" s="63"/>
      <c r="P231" s="63"/>
      <c r="Q231" s="63"/>
      <c r="R231" s="63"/>
      <c r="S231" s="24">
        <f t="shared" si="53"/>
        <v>31234.3</v>
      </c>
      <c r="T231" s="20">
        <v>2019</v>
      </c>
    </row>
    <row r="232" spans="1:20" ht="15">
      <c r="A232" s="17" t="s">
        <v>337</v>
      </c>
      <c r="B232" s="17">
        <v>1</v>
      </c>
      <c r="C232" s="17">
        <v>2</v>
      </c>
      <c r="D232" s="17">
        <v>2</v>
      </c>
      <c r="E232" s="17">
        <v>1</v>
      </c>
      <c r="F232" s="17">
        <v>2</v>
      </c>
      <c r="G232" s="17">
        <v>3</v>
      </c>
      <c r="H232" s="18" t="s">
        <v>234</v>
      </c>
      <c r="I232" s="91" t="s">
        <v>264</v>
      </c>
      <c r="J232" s="21"/>
      <c r="K232" s="23"/>
      <c r="L232" s="63"/>
      <c r="M232" s="8">
        <v>3462.2</v>
      </c>
      <c r="N232" s="63"/>
      <c r="O232" s="63"/>
      <c r="P232" s="63"/>
      <c r="Q232" s="63"/>
      <c r="R232" s="63"/>
      <c r="S232" s="24">
        <f t="shared" si="53"/>
        <v>3462.2</v>
      </c>
      <c r="T232" s="20">
        <v>2019</v>
      </c>
    </row>
    <row r="233" spans="1:20" ht="15">
      <c r="A233" s="17" t="s">
        <v>337</v>
      </c>
      <c r="B233" s="17">
        <v>1</v>
      </c>
      <c r="C233" s="17">
        <v>2</v>
      </c>
      <c r="D233" s="17">
        <v>2</v>
      </c>
      <c r="E233" s="17">
        <v>1</v>
      </c>
      <c r="F233" s="17">
        <v>2</v>
      </c>
      <c r="G233" s="17"/>
      <c r="H233" s="18" t="s">
        <v>230</v>
      </c>
      <c r="I233" s="91" t="s">
        <v>84</v>
      </c>
      <c r="J233" s="21"/>
      <c r="K233" s="23"/>
      <c r="L233" s="63"/>
      <c r="M233" s="8">
        <v>20.6</v>
      </c>
      <c r="N233" s="63"/>
      <c r="O233" s="63"/>
      <c r="P233" s="63"/>
      <c r="Q233" s="63"/>
      <c r="R233" s="63"/>
      <c r="S233" s="24">
        <f t="shared" si="53"/>
        <v>20.6</v>
      </c>
      <c r="T233" s="20">
        <v>2019</v>
      </c>
    </row>
    <row r="234" spans="1:20" ht="30">
      <c r="A234" s="17" t="s">
        <v>337</v>
      </c>
      <c r="B234" s="17">
        <v>1</v>
      </c>
      <c r="C234" s="17">
        <v>2</v>
      </c>
      <c r="D234" s="17">
        <v>2</v>
      </c>
      <c r="E234" s="17">
        <v>1</v>
      </c>
      <c r="F234" s="17">
        <v>3</v>
      </c>
      <c r="G234" s="17"/>
      <c r="H234" s="18" t="s">
        <v>11</v>
      </c>
      <c r="I234" s="91" t="s">
        <v>264</v>
      </c>
      <c r="J234" s="21">
        <f>SUM(J235:J237)</f>
        <v>0</v>
      </c>
      <c r="K234" s="21">
        <f aca="true" t="shared" si="54" ref="K234:S234">SUM(K235:K237)</f>
        <v>0</v>
      </c>
      <c r="L234" s="21">
        <f t="shared" si="54"/>
        <v>0</v>
      </c>
      <c r="M234" s="21">
        <f t="shared" si="54"/>
        <v>0</v>
      </c>
      <c r="N234" s="21">
        <f t="shared" si="54"/>
        <v>638000</v>
      </c>
      <c r="O234" s="21">
        <f t="shared" si="54"/>
        <v>443000</v>
      </c>
      <c r="P234" s="21">
        <f t="shared" si="54"/>
        <v>0</v>
      </c>
      <c r="Q234" s="21">
        <f t="shared" si="54"/>
        <v>0</v>
      </c>
      <c r="R234" s="21">
        <f t="shared" si="54"/>
        <v>0</v>
      </c>
      <c r="S234" s="21">
        <f t="shared" si="54"/>
        <v>1081000</v>
      </c>
      <c r="T234" s="20">
        <v>2021</v>
      </c>
    </row>
    <row r="235" spans="1:20" ht="15">
      <c r="A235" s="17" t="s">
        <v>337</v>
      </c>
      <c r="B235" s="17">
        <v>1</v>
      </c>
      <c r="C235" s="17">
        <v>2</v>
      </c>
      <c r="D235" s="17">
        <v>2</v>
      </c>
      <c r="E235" s="17">
        <v>1</v>
      </c>
      <c r="F235" s="17">
        <v>3</v>
      </c>
      <c r="G235" s="17">
        <v>1</v>
      </c>
      <c r="H235" s="18" t="s">
        <v>222</v>
      </c>
      <c r="I235" s="91" t="s">
        <v>264</v>
      </c>
      <c r="J235" s="21"/>
      <c r="K235" s="23"/>
      <c r="L235" s="63"/>
      <c r="M235" s="8"/>
      <c r="N235" s="63">
        <v>591000</v>
      </c>
      <c r="O235" s="63">
        <f>410000-13000</f>
        <v>397000</v>
      </c>
      <c r="P235" s="63"/>
      <c r="Q235" s="63"/>
      <c r="R235" s="63"/>
      <c r="S235" s="24">
        <f>SUM(J235:R235)</f>
        <v>988000</v>
      </c>
      <c r="T235" s="20">
        <v>2021</v>
      </c>
    </row>
    <row r="236" spans="1:20" ht="15">
      <c r="A236" s="17" t="s">
        <v>337</v>
      </c>
      <c r="B236" s="17">
        <v>1</v>
      </c>
      <c r="C236" s="17">
        <v>2</v>
      </c>
      <c r="D236" s="17">
        <v>2</v>
      </c>
      <c r="E236" s="17">
        <v>1</v>
      </c>
      <c r="F236" s="17">
        <v>3</v>
      </c>
      <c r="G236" s="17">
        <v>2</v>
      </c>
      <c r="H236" s="18" t="s">
        <v>233</v>
      </c>
      <c r="I236" s="91" t="s">
        <v>264</v>
      </c>
      <c r="J236" s="21"/>
      <c r="K236" s="23"/>
      <c r="L236" s="63"/>
      <c r="M236" s="8"/>
      <c r="N236" s="63">
        <v>46000</v>
      </c>
      <c r="O236" s="63">
        <f>32000-1000</f>
        <v>31000</v>
      </c>
      <c r="P236" s="63"/>
      <c r="Q236" s="63"/>
      <c r="R236" s="63"/>
      <c r="S236" s="24">
        <f>SUM(J236:R236)</f>
        <v>77000</v>
      </c>
      <c r="T236" s="20">
        <v>2021</v>
      </c>
    </row>
    <row r="237" spans="1:20" ht="15">
      <c r="A237" s="17" t="s">
        <v>337</v>
      </c>
      <c r="B237" s="17">
        <v>1</v>
      </c>
      <c r="C237" s="17">
        <v>2</v>
      </c>
      <c r="D237" s="17">
        <v>2</v>
      </c>
      <c r="E237" s="17">
        <v>1</v>
      </c>
      <c r="F237" s="17">
        <v>3</v>
      </c>
      <c r="G237" s="17">
        <v>3</v>
      </c>
      <c r="H237" s="18" t="s">
        <v>234</v>
      </c>
      <c r="I237" s="91" t="s">
        <v>264</v>
      </c>
      <c r="J237" s="21"/>
      <c r="K237" s="23"/>
      <c r="L237" s="63"/>
      <c r="M237" s="8"/>
      <c r="N237" s="63">
        <v>1000</v>
      </c>
      <c r="O237" s="63">
        <f>1000+14000</f>
        <v>15000</v>
      </c>
      <c r="P237" s="63"/>
      <c r="Q237" s="63"/>
      <c r="R237" s="63"/>
      <c r="S237" s="24">
        <f>SUM(J237:R237)</f>
        <v>16000</v>
      </c>
      <c r="T237" s="20">
        <v>2021</v>
      </c>
    </row>
    <row r="238" spans="1:20" ht="30">
      <c r="A238" s="17" t="s">
        <v>337</v>
      </c>
      <c r="B238" s="17">
        <v>1</v>
      </c>
      <c r="C238" s="17">
        <v>2</v>
      </c>
      <c r="D238" s="17">
        <v>2</v>
      </c>
      <c r="E238" s="17">
        <v>1</v>
      </c>
      <c r="F238" s="17">
        <v>3</v>
      </c>
      <c r="G238" s="17"/>
      <c r="H238" s="18" t="s">
        <v>404</v>
      </c>
      <c r="I238" s="91" t="s">
        <v>224</v>
      </c>
      <c r="J238" s="21"/>
      <c r="K238" s="23"/>
      <c r="L238" s="63"/>
      <c r="M238" s="8"/>
      <c r="N238" s="63">
        <v>21.5</v>
      </c>
      <c r="O238" s="63"/>
      <c r="P238" s="63"/>
      <c r="Q238" s="63"/>
      <c r="R238" s="63"/>
      <c r="S238" s="24">
        <f>SUM(J238:R238)</f>
        <v>21.5</v>
      </c>
      <c r="T238" s="20">
        <v>2020</v>
      </c>
    </row>
    <row r="239" spans="1:20" ht="30">
      <c r="A239" s="17" t="s">
        <v>337</v>
      </c>
      <c r="B239" s="17">
        <v>1</v>
      </c>
      <c r="C239" s="17">
        <v>2</v>
      </c>
      <c r="D239" s="17">
        <v>2</v>
      </c>
      <c r="E239" s="17">
        <v>1</v>
      </c>
      <c r="F239" s="17">
        <v>3</v>
      </c>
      <c r="G239" s="17"/>
      <c r="H239" s="18" t="s">
        <v>324</v>
      </c>
      <c r="I239" s="91" t="s">
        <v>325</v>
      </c>
      <c r="J239" s="21"/>
      <c r="K239" s="23"/>
      <c r="L239" s="63"/>
      <c r="M239" s="8"/>
      <c r="N239" s="63"/>
      <c r="O239" s="8">
        <v>60.7</v>
      </c>
      <c r="P239" s="63"/>
      <c r="Q239" s="63"/>
      <c r="R239" s="63"/>
      <c r="S239" s="24">
        <f>SUM(J239:R239)</f>
        <v>60.7</v>
      </c>
      <c r="T239" s="20">
        <v>2021</v>
      </c>
    </row>
    <row r="240" spans="1:25" ht="14.25">
      <c r="A240" s="10" t="s">
        <v>337</v>
      </c>
      <c r="B240" s="10">
        <v>1</v>
      </c>
      <c r="C240" s="10">
        <v>3</v>
      </c>
      <c r="D240" s="10">
        <v>0</v>
      </c>
      <c r="E240" s="10">
        <v>0</v>
      </c>
      <c r="F240" s="10">
        <v>0</v>
      </c>
      <c r="G240" s="10"/>
      <c r="H240" s="11" t="s">
        <v>65</v>
      </c>
      <c r="I240" s="12" t="s">
        <v>264</v>
      </c>
      <c r="J240" s="30">
        <f>J241</f>
        <v>1105.6000000000001</v>
      </c>
      <c r="K240" s="30">
        <f aca="true" t="shared" si="55" ref="K240:S240">K241</f>
        <v>7621</v>
      </c>
      <c r="L240" s="30">
        <f t="shared" si="55"/>
        <v>386.1</v>
      </c>
      <c r="M240" s="30">
        <f t="shared" si="55"/>
        <v>761.9</v>
      </c>
      <c r="N240" s="30">
        <f t="shared" si="55"/>
        <v>3000</v>
      </c>
      <c r="O240" s="30">
        <f t="shared" si="55"/>
        <v>3000</v>
      </c>
      <c r="P240" s="30">
        <f t="shared" si="55"/>
        <v>3000</v>
      </c>
      <c r="Q240" s="30">
        <f t="shared" si="55"/>
        <v>3000</v>
      </c>
      <c r="R240" s="30">
        <f t="shared" si="55"/>
        <v>3000</v>
      </c>
      <c r="S240" s="30">
        <f t="shared" si="55"/>
        <v>24874.6</v>
      </c>
      <c r="T240" s="14">
        <v>2024</v>
      </c>
      <c r="Y240" s="16"/>
    </row>
    <row r="241" spans="1:20" ht="15">
      <c r="A241" s="17" t="s">
        <v>337</v>
      </c>
      <c r="B241" s="17">
        <v>1</v>
      </c>
      <c r="C241" s="17">
        <v>3</v>
      </c>
      <c r="D241" s="17">
        <v>0</v>
      </c>
      <c r="E241" s="17">
        <v>0</v>
      </c>
      <c r="F241" s="17">
        <v>0</v>
      </c>
      <c r="G241" s="17">
        <v>3</v>
      </c>
      <c r="H241" s="18" t="s">
        <v>234</v>
      </c>
      <c r="I241" s="91" t="s">
        <v>264</v>
      </c>
      <c r="J241" s="21">
        <f aca="true" t="shared" si="56" ref="J241:R241">J243</f>
        <v>1105.6000000000001</v>
      </c>
      <c r="K241" s="21">
        <f t="shared" si="56"/>
        <v>7621</v>
      </c>
      <c r="L241" s="21">
        <f t="shared" si="56"/>
        <v>386.1</v>
      </c>
      <c r="M241" s="21">
        <f t="shared" si="56"/>
        <v>761.9</v>
      </c>
      <c r="N241" s="21">
        <f t="shared" si="56"/>
        <v>3000</v>
      </c>
      <c r="O241" s="21">
        <f t="shared" si="56"/>
        <v>3000</v>
      </c>
      <c r="P241" s="21">
        <f t="shared" si="56"/>
        <v>3000</v>
      </c>
      <c r="Q241" s="21">
        <f t="shared" si="56"/>
        <v>3000</v>
      </c>
      <c r="R241" s="21">
        <f t="shared" si="56"/>
        <v>3000</v>
      </c>
      <c r="S241" s="19">
        <f>SUM(J241:R241)</f>
        <v>24874.6</v>
      </c>
      <c r="T241" s="20">
        <v>2024</v>
      </c>
    </row>
    <row r="242" spans="1:26" ht="30">
      <c r="A242" s="17" t="s">
        <v>337</v>
      </c>
      <c r="B242" s="17">
        <v>1</v>
      </c>
      <c r="C242" s="17">
        <v>3</v>
      </c>
      <c r="D242" s="17">
        <v>1</v>
      </c>
      <c r="E242" s="17">
        <v>0</v>
      </c>
      <c r="F242" s="17">
        <v>0</v>
      </c>
      <c r="G242" s="17"/>
      <c r="H242" s="18" t="s">
        <v>330</v>
      </c>
      <c r="I242" s="91" t="s">
        <v>264</v>
      </c>
      <c r="J242" s="19">
        <f>J243</f>
        <v>1105.6000000000001</v>
      </c>
      <c r="K242" s="19">
        <f aca="true" t="shared" si="57" ref="K242:R242">K243</f>
        <v>7621</v>
      </c>
      <c r="L242" s="19">
        <f t="shared" si="57"/>
        <v>386.1</v>
      </c>
      <c r="M242" s="19">
        <f t="shared" si="57"/>
        <v>761.9</v>
      </c>
      <c r="N242" s="19">
        <f t="shared" si="57"/>
        <v>3000</v>
      </c>
      <c r="O242" s="19">
        <f t="shared" si="57"/>
        <v>3000</v>
      </c>
      <c r="P242" s="19">
        <f t="shared" si="57"/>
        <v>3000</v>
      </c>
      <c r="Q242" s="19">
        <f t="shared" si="57"/>
        <v>3000</v>
      </c>
      <c r="R242" s="19">
        <f t="shared" si="57"/>
        <v>3000</v>
      </c>
      <c r="S242" s="19">
        <f>SUM(J242:R242)</f>
        <v>24874.6</v>
      </c>
      <c r="T242" s="20">
        <v>2024</v>
      </c>
      <c r="Z242" s="16"/>
    </row>
    <row r="243" spans="1:20" ht="15">
      <c r="A243" s="17" t="s">
        <v>337</v>
      </c>
      <c r="B243" s="17">
        <v>1</v>
      </c>
      <c r="C243" s="17">
        <v>3</v>
      </c>
      <c r="D243" s="17">
        <v>1</v>
      </c>
      <c r="E243" s="17">
        <v>0</v>
      </c>
      <c r="F243" s="17">
        <v>0</v>
      </c>
      <c r="G243" s="17">
        <v>3</v>
      </c>
      <c r="H243" s="18" t="s">
        <v>234</v>
      </c>
      <c r="I243" s="91" t="s">
        <v>264</v>
      </c>
      <c r="J243" s="19">
        <f aca="true" t="shared" si="58" ref="J243:O243">J246+J248</f>
        <v>1105.6000000000001</v>
      </c>
      <c r="K243" s="19">
        <f t="shared" si="58"/>
        <v>7621</v>
      </c>
      <c r="L243" s="19">
        <f t="shared" si="58"/>
        <v>386.1</v>
      </c>
      <c r="M243" s="19">
        <f>M246+M248</f>
        <v>761.9</v>
      </c>
      <c r="N243" s="19">
        <f t="shared" si="58"/>
        <v>3000</v>
      </c>
      <c r="O243" s="19">
        <f t="shared" si="58"/>
        <v>3000</v>
      </c>
      <c r="P243" s="19">
        <f>P246+P248</f>
        <v>3000</v>
      </c>
      <c r="Q243" s="19">
        <f>Q246+Q248</f>
        <v>3000</v>
      </c>
      <c r="R243" s="19">
        <f>R246+R248</f>
        <v>3000</v>
      </c>
      <c r="S243" s="19">
        <f>SUM(J243:R243)</f>
        <v>24874.6</v>
      </c>
      <c r="T243" s="20">
        <v>2024</v>
      </c>
    </row>
    <row r="244" spans="1:20" ht="30">
      <c r="A244" s="17" t="s">
        <v>337</v>
      </c>
      <c r="B244" s="17">
        <v>1</v>
      </c>
      <c r="C244" s="17">
        <v>3</v>
      </c>
      <c r="D244" s="17">
        <v>1</v>
      </c>
      <c r="E244" s="17">
        <v>0</v>
      </c>
      <c r="F244" s="17">
        <v>0</v>
      </c>
      <c r="G244" s="17"/>
      <c r="H244" s="18" t="s">
        <v>80</v>
      </c>
      <c r="I244" s="91" t="s">
        <v>266</v>
      </c>
      <c r="J244" s="26">
        <f>расчет_показ!E97</f>
        <v>22.169811320754718</v>
      </c>
      <c r="K244" s="26">
        <f>расчет_показ!F97</f>
        <v>4.716981132075472</v>
      </c>
      <c r="L244" s="19">
        <f>расчет_показ!G97</f>
        <v>4.854368932038835</v>
      </c>
      <c r="M244" s="26">
        <f>расчет_показ!H97</f>
        <v>4.368932038834951</v>
      </c>
      <c r="N244" s="26">
        <f>расчет_показ!I97</f>
        <v>3.8834951456310676</v>
      </c>
      <c r="O244" s="26">
        <f>расчет_показ!J97</f>
        <v>3.3980582524271843</v>
      </c>
      <c r="P244" s="26">
        <f>расчет_показ!K97</f>
        <v>2.912621359223301</v>
      </c>
      <c r="Q244" s="26">
        <f>расчет_показ!L97</f>
        <v>2.4271844660194173</v>
      </c>
      <c r="R244" s="26">
        <f>расчет_показ!M97</f>
        <v>1.9417475728155338</v>
      </c>
      <c r="S244" s="21">
        <f>R244</f>
        <v>1.9417475728155338</v>
      </c>
      <c r="T244" s="20">
        <v>2024</v>
      </c>
    </row>
    <row r="245" spans="1:20" ht="30">
      <c r="A245" s="17" t="s">
        <v>337</v>
      </c>
      <c r="B245" s="17">
        <v>1</v>
      </c>
      <c r="C245" s="17">
        <v>3</v>
      </c>
      <c r="D245" s="17">
        <v>1</v>
      </c>
      <c r="E245" s="17">
        <v>0</v>
      </c>
      <c r="F245" s="17">
        <v>0</v>
      </c>
      <c r="G245" s="17"/>
      <c r="H245" s="18" t="s">
        <v>307</v>
      </c>
      <c r="I245" s="91" t="s">
        <v>268</v>
      </c>
      <c r="J245" s="26">
        <f>расчет_показ!E100</f>
        <v>16.666666666666664</v>
      </c>
      <c r="K245" s="26">
        <f>расчет_показ!F100</f>
        <v>100</v>
      </c>
      <c r="L245" s="19">
        <f>расчет_показ!G100</f>
        <v>100</v>
      </c>
      <c r="M245" s="26">
        <f>расчет_показ!H100</f>
        <v>100</v>
      </c>
      <c r="N245" s="26">
        <f>расчет_показ!I100</f>
        <v>100</v>
      </c>
      <c r="O245" s="26">
        <f>расчет_показ!J100</f>
        <v>100</v>
      </c>
      <c r="P245" s="26">
        <f>расчет_показ!K100</f>
        <v>100</v>
      </c>
      <c r="Q245" s="26">
        <f>расчет_показ!L100</f>
        <v>100</v>
      </c>
      <c r="R245" s="26">
        <f>расчет_показ!M100</f>
        <v>100</v>
      </c>
      <c r="S245" s="23">
        <f>R245</f>
        <v>100</v>
      </c>
      <c r="T245" s="20">
        <v>2024</v>
      </c>
    </row>
    <row r="246" spans="1:20" ht="30">
      <c r="A246" s="17" t="s">
        <v>337</v>
      </c>
      <c r="B246" s="17">
        <v>1</v>
      </c>
      <c r="C246" s="17">
        <v>3</v>
      </c>
      <c r="D246" s="17">
        <v>1</v>
      </c>
      <c r="E246" s="17">
        <v>0</v>
      </c>
      <c r="F246" s="17">
        <v>1</v>
      </c>
      <c r="G246" s="17">
        <v>3</v>
      </c>
      <c r="H246" s="18" t="s">
        <v>67</v>
      </c>
      <c r="I246" s="91" t="s">
        <v>264</v>
      </c>
      <c r="J246" s="21">
        <v>0</v>
      </c>
      <c r="K246" s="21">
        <v>1800</v>
      </c>
      <c r="L246" s="21">
        <v>0</v>
      </c>
      <c r="M246" s="25">
        <v>0</v>
      </c>
      <c r="N246" s="25">
        <v>0</v>
      </c>
      <c r="O246" s="25">
        <v>0</v>
      </c>
      <c r="P246" s="25">
        <v>0</v>
      </c>
      <c r="Q246" s="25">
        <v>0</v>
      </c>
      <c r="R246" s="25">
        <v>0</v>
      </c>
      <c r="S246" s="19">
        <f>SUM(J246:O246)</f>
        <v>1800</v>
      </c>
      <c r="T246" s="20">
        <v>2017</v>
      </c>
    </row>
    <row r="247" spans="1:20" ht="15">
      <c r="A247" s="17" t="s">
        <v>337</v>
      </c>
      <c r="B247" s="17">
        <v>1</v>
      </c>
      <c r="C247" s="17">
        <v>3</v>
      </c>
      <c r="D247" s="17">
        <v>1</v>
      </c>
      <c r="E247" s="17">
        <v>0</v>
      </c>
      <c r="F247" s="17">
        <v>1</v>
      </c>
      <c r="G247" s="17"/>
      <c r="H247" s="18" t="s">
        <v>236</v>
      </c>
      <c r="I247" s="91" t="s">
        <v>399</v>
      </c>
      <c r="J247" s="26"/>
      <c r="K247" s="20">
        <v>1</v>
      </c>
      <c r="L247" s="19"/>
      <c r="M247" s="26"/>
      <c r="N247" s="26"/>
      <c r="O247" s="26"/>
      <c r="P247" s="26"/>
      <c r="Q247" s="26"/>
      <c r="R247" s="26"/>
      <c r="S247" s="19">
        <f>SUM(J247:O247)</f>
        <v>1</v>
      </c>
      <c r="T247" s="20">
        <v>2017</v>
      </c>
    </row>
    <row r="248" spans="1:20" ht="45">
      <c r="A248" s="17" t="s">
        <v>337</v>
      </c>
      <c r="B248" s="17">
        <v>1</v>
      </c>
      <c r="C248" s="17">
        <v>3</v>
      </c>
      <c r="D248" s="17">
        <v>1</v>
      </c>
      <c r="E248" s="17">
        <v>0</v>
      </c>
      <c r="F248" s="17">
        <v>2</v>
      </c>
      <c r="G248" s="17">
        <v>3</v>
      </c>
      <c r="H248" s="18" t="s">
        <v>243</v>
      </c>
      <c r="I248" s="91" t="s">
        <v>264</v>
      </c>
      <c r="J248" s="21">
        <f>200+834.9+100+71.2+0.1-100.6-0.1+0.1</f>
        <v>1105.6000000000001</v>
      </c>
      <c r="K248" s="21">
        <f>33649.5-2350+(-15566.3)-0.1-10380.1+99.4+33.6+334.9+0.1</f>
        <v>5821</v>
      </c>
      <c r="L248" s="21">
        <v>386.1</v>
      </c>
      <c r="M248" s="21">
        <v>761.9</v>
      </c>
      <c r="N248" s="21">
        <v>3000</v>
      </c>
      <c r="O248" s="21">
        <v>3000</v>
      </c>
      <c r="P248" s="21">
        <v>3000</v>
      </c>
      <c r="Q248" s="21">
        <v>3000</v>
      </c>
      <c r="R248" s="21">
        <v>3000</v>
      </c>
      <c r="S248" s="19">
        <f>SUM(J248:R248)</f>
        <v>23074.6</v>
      </c>
      <c r="T248" s="20">
        <v>2024</v>
      </c>
    </row>
    <row r="249" spans="1:20" ht="30">
      <c r="A249" s="17" t="s">
        <v>337</v>
      </c>
      <c r="B249" s="17">
        <v>1</v>
      </c>
      <c r="C249" s="17">
        <v>3</v>
      </c>
      <c r="D249" s="17">
        <v>1</v>
      </c>
      <c r="E249" s="17">
        <v>0</v>
      </c>
      <c r="F249" s="17">
        <v>2</v>
      </c>
      <c r="G249" s="17"/>
      <c r="H249" s="18" t="s">
        <v>98</v>
      </c>
      <c r="I249" s="91" t="s">
        <v>265</v>
      </c>
      <c r="J249" s="29">
        <v>4</v>
      </c>
      <c r="K249" s="29">
        <v>2</v>
      </c>
      <c r="L249" s="29">
        <v>0</v>
      </c>
      <c r="M249" s="29">
        <v>1</v>
      </c>
      <c r="N249" s="29">
        <v>2</v>
      </c>
      <c r="O249" s="29">
        <v>2</v>
      </c>
      <c r="P249" s="29">
        <v>2</v>
      </c>
      <c r="Q249" s="29">
        <v>2</v>
      </c>
      <c r="R249" s="29">
        <v>2</v>
      </c>
      <c r="S249" s="29">
        <f>SUM(J249:O249)</f>
        <v>11</v>
      </c>
      <c r="T249" s="20">
        <v>2024</v>
      </c>
    </row>
    <row r="250" spans="1:20" ht="30">
      <c r="A250" s="17" t="s">
        <v>337</v>
      </c>
      <c r="B250" s="17">
        <v>1</v>
      </c>
      <c r="C250" s="17">
        <v>3</v>
      </c>
      <c r="D250" s="17">
        <v>1</v>
      </c>
      <c r="E250" s="17">
        <v>0</v>
      </c>
      <c r="F250" s="17">
        <v>2</v>
      </c>
      <c r="G250" s="17"/>
      <c r="H250" s="18" t="s">
        <v>1</v>
      </c>
      <c r="I250" s="91" t="s">
        <v>265</v>
      </c>
      <c r="J250" s="29"/>
      <c r="K250" s="29"/>
      <c r="L250" s="29">
        <v>1</v>
      </c>
      <c r="M250" s="29">
        <v>1</v>
      </c>
      <c r="N250" s="29"/>
      <c r="O250" s="29"/>
      <c r="P250" s="29"/>
      <c r="Q250" s="29"/>
      <c r="R250" s="29"/>
      <c r="S250" s="29">
        <v>1</v>
      </c>
      <c r="T250" s="20">
        <v>2019</v>
      </c>
    </row>
    <row r="251" spans="1:20" ht="15">
      <c r="A251" s="17" t="s">
        <v>337</v>
      </c>
      <c r="B251" s="17">
        <v>1</v>
      </c>
      <c r="C251" s="17">
        <v>3</v>
      </c>
      <c r="D251" s="17">
        <v>2</v>
      </c>
      <c r="E251" s="17">
        <v>0</v>
      </c>
      <c r="F251" s="17">
        <v>0</v>
      </c>
      <c r="G251" s="17"/>
      <c r="H251" s="18" t="s">
        <v>64</v>
      </c>
      <c r="I251" s="17" t="s">
        <v>253</v>
      </c>
      <c r="J251" s="19" t="s">
        <v>267</v>
      </c>
      <c r="K251" s="19" t="s">
        <v>267</v>
      </c>
      <c r="L251" s="19" t="s">
        <v>267</v>
      </c>
      <c r="M251" s="19" t="s">
        <v>267</v>
      </c>
      <c r="N251" s="19" t="s">
        <v>267</v>
      </c>
      <c r="O251" s="19" t="s">
        <v>267</v>
      </c>
      <c r="P251" s="19" t="s">
        <v>267</v>
      </c>
      <c r="Q251" s="19" t="s">
        <v>267</v>
      </c>
      <c r="R251" s="19" t="s">
        <v>267</v>
      </c>
      <c r="S251" s="19" t="s">
        <v>267</v>
      </c>
      <c r="T251" s="20">
        <v>2024</v>
      </c>
    </row>
    <row r="252" spans="1:20" ht="30">
      <c r="A252" s="17" t="s">
        <v>337</v>
      </c>
      <c r="B252" s="17">
        <v>1</v>
      </c>
      <c r="C252" s="17">
        <v>3</v>
      </c>
      <c r="D252" s="17">
        <v>2</v>
      </c>
      <c r="E252" s="17">
        <v>0</v>
      </c>
      <c r="F252" s="17">
        <v>0</v>
      </c>
      <c r="G252" s="17"/>
      <c r="H252" s="18" t="s">
        <v>99</v>
      </c>
      <c r="I252" s="91" t="s">
        <v>263</v>
      </c>
      <c r="J252" s="23">
        <f>расчет_показ!E103</f>
        <v>0.19954307636767266</v>
      </c>
      <c r="K252" s="23">
        <f>расчет_показ!F103</f>
        <v>0.242943312378062</v>
      </c>
      <c r="L252" s="23">
        <f>расчет_показ!G103</f>
        <v>0.3186441599391122</v>
      </c>
      <c r="M252" s="23">
        <f>расчет_показ!H103</f>
        <v>0.37443529026625927</v>
      </c>
      <c r="N252" s="23">
        <f>расчет_показ!I103</f>
        <v>0.47897258961088746</v>
      </c>
      <c r="O252" s="23">
        <f>расчет_показ!J103</f>
        <v>0.31731001869569997</v>
      </c>
      <c r="P252" s="23">
        <f>расчет_показ!K103</f>
        <v>0.2903011898517517</v>
      </c>
      <c r="Q252" s="23">
        <f>расчет_показ!L103</f>
        <v>0.313975275791341</v>
      </c>
      <c r="R252" s="23">
        <f>расчет_показ!M103</f>
        <v>0.33786807681603115</v>
      </c>
      <c r="S252" s="23">
        <f>R252</f>
        <v>0.33786807681603115</v>
      </c>
      <c r="T252" s="20">
        <v>2024</v>
      </c>
    </row>
    <row r="253" spans="1:20" ht="30">
      <c r="A253" s="17" t="s">
        <v>337</v>
      </c>
      <c r="B253" s="17">
        <v>1</v>
      </c>
      <c r="C253" s="17">
        <v>3</v>
      </c>
      <c r="D253" s="17">
        <v>2</v>
      </c>
      <c r="E253" s="17">
        <v>0</v>
      </c>
      <c r="F253" s="17">
        <v>0</v>
      </c>
      <c r="G253" s="17"/>
      <c r="H253" s="18" t="s">
        <v>2</v>
      </c>
      <c r="I253" s="91" t="s">
        <v>221</v>
      </c>
      <c r="J253" s="62">
        <f>расчет_показ!E106</f>
        <v>1.0776500762437429</v>
      </c>
      <c r="K253" s="62">
        <f>расчет_показ!F106</f>
        <v>2.4929546932581834</v>
      </c>
      <c r="L253" s="62">
        <f>расчет_показ!G106</f>
        <v>0.9785533719318275</v>
      </c>
      <c r="M253" s="62">
        <f>расчет_показ!H106</f>
        <v>1.0912265386294195</v>
      </c>
      <c r="N253" s="62">
        <f>расчет_показ!I106</f>
        <v>1.0953202442564145</v>
      </c>
      <c r="O253" s="62">
        <f>расчет_показ!J106</f>
        <v>1.0997470581766193</v>
      </c>
      <c r="P253" s="62">
        <f>расчет_показ!K106</f>
        <v>1.1042707671921155</v>
      </c>
      <c r="Q253" s="62">
        <f>расчет_показ!L106</f>
        <v>1.1087089084760797</v>
      </c>
      <c r="R253" s="62">
        <f>расчет_показ!M106</f>
        <v>1.113275814082939</v>
      </c>
      <c r="S253" s="41">
        <f>R253</f>
        <v>1.113275814082939</v>
      </c>
      <c r="T253" s="20">
        <v>2024</v>
      </c>
    </row>
    <row r="254" spans="1:20" ht="30">
      <c r="A254" s="17" t="s">
        <v>337</v>
      </c>
      <c r="B254" s="17">
        <v>1</v>
      </c>
      <c r="C254" s="17">
        <v>3</v>
      </c>
      <c r="D254" s="17">
        <v>2</v>
      </c>
      <c r="E254" s="17">
        <v>0</v>
      </c>
      <c r="F254" s="17">
        <v>1</v>
      </c>
      <c r="G254" s="17"/>
      <c r="H254" s="18" t="s">
        <v>51</v>
      </c>
      <c r="I254" s="17" t="s">
        <v>253</v>
      </c>
      <c r="J254" s="66" t="s">
        <v>267</v>
      </c>
      <c r="K254" s="66" t="s">
        <v>267</v>
      </c>
      <c r="L254" s="66" t="s">
        <v>90</v>
      </c>
      <c r="M254" s="66" t="s">
        <v>90</v>
      </c>
      <c r="N254" s="66" t="s">
        <v>267</v>
      </c>
      <c r="O254" s="66" t="s">
        <v>267</v>
      </c>
      <c r="P254" s="66" t="s">
        <v>267</v>
      </c>
      <c r="Q254" s="66" t="s">
        <v>267</v>
      </c>
      <c r="R254" s="66" t="s">
        <v>267</v>
      </c>
      <c r="S254" s="19" t="s">
        <v>267</v>
      </c>
      <c r="T254" s="20">
        <v>2024</v>
      </c>
    </row>
    <row r="255" spans="1:20" ht="45">
      <c r="A255" s="17" t="s">
        <v>337</v>
      </c>
      <c r="B255" s="17">
        <v>1</v>
      </c>
      <c r="C255" s="17">
        <v>3</v>
      </c>
      <c r="D255" s="17">
        <v>2</v>
      </c>
      <c r="E255" s="17">
        <v>0</v>
      </c>
      <c r="F255" s="17">
        <v>1</v>
      </c>
      <c r="G255" s="17"/>
      <c r="H255" s="18" t="s">
        <v>3</v>
      </c>
      <c r="I255" s="93" t="s">
        <v>265</v>
      </c>
      <c r="J255" s="67">
        <v>1</v>
      </c>
      <c r="K255" s="67">
        <v>1</v>
      </c>
      <c r="L255" s="29">
        <v>0</v>
      </c>
      <c r="M255" s="29">
        <v>0</v>
      </c>
      <c r="N255" s="29">
        <v>1</v>
      </c>
      <c r="O255" s="29">
        <v>1</v>
      </c>
      <c r="P255" s="29">
        <v>1</v>
      </c>
      <c r="Q255" s="29">
        <v>1</v>
      </c>
      <c r="R255" s="29">
        <v>1</v>
      </c>
      <c r="S255" s="68">
        <f>SUM(J255:O255)</f>
        <v>4</v>
      </c>
      <c r="T255" s="20">
        <v>2024</v>
      </c>
    </row>
    <row r="256" spans="1:20" ht="30">
      <c r="A256" s="17" t="s">
        <v>337</v>
      </c>
      <c r="B256" s="17">
        <v>1</v>
      </c>
      <c r="C256" s="17">
        <v>3</v>
      </c>
      <c r="D256" s="17">
        <v>2</v>
      </c>
      <c r="E256" s="17">
        <v>0</v>
      </c>
      <c r="F256" s="17">
        <v>2</v>
      </c>
      <c r="G256" s="17"/>
      <c r="H256" s="18" t="s">
        <v>4</v>
      </c>
      <c r="I256" s="69" t="s">
        <v>253</v>
      </c>
      <c r="J256" s="20" t="s">
        <v>267</v>
      </c>
      <c r="K256" s="20" t="s">
        <v>267</v>
      </c>
      <c r="L256" s="19" t="s">
        <v>267</v>
      </c>
      <c r="M256" s="20" t="s">
        <v>267</v>
      </c>
      <c r="N256" s="20" t="s">
        <v>267</v>
      </c>
      <c r="O256" s="20" t="s">
        <v>267</v>
      </c>
      <c r="P256" s="20" t="s">
        <v>267</v>
      </c>
      <c r="Q256" s="20" t="s">
        <v>267</v>
      </c>
      <c r="R256" s="20" t="s">
        <v>267</v>
      </c>
      <c r="S256" s="70" t="s">
        <v>267</v>
      </c>
      <c r="T256" s="20">
        <v>2024</v>
      </c>
    </row>
    <row r="257" spans="1:20" ht="30">
      <c r="A257" s="17" t="s">
        <v>337</v>
      </c>
      <c r="B257" s="17">
        <v>1</v>
      </c>
      <c r="C257" s="17">
        <v>3</v>
      </c>
      <c r="D257" s="17">
        <v>2</v>
      </c>
      <c r="E257" s="17">
        <v>0</v>
      </c>
      <c r="F257" s="17">
        <v>2</v>
      </c>
      <c r="G257" s="17"/>
      <c r="H257" s="18" t="s">
        <v>423</v>
      </c>
      <c r="I257" s="93" t="s">
        <v>265</v>
      </c>
      <c r="J257" s="29">
        <v>500</v>
      </c>
      <c r="K257" s="29">
        <v>450</v>
      </c>
      <c r="L257" s="29">
        <v>530</v>
      </c>
      <c r="M257" s="29">
        <v>400</v>
      </c>
      <c r="N257" s="29">
        <v>450</v>
      </c>
      <c r="O257" s="29">
        <v>450</v>
      </c>
      <c r="P257" s="29">
        <v>450</v>
      </c>
      <c r="Q257" s="29">
        <v>450</v>
      </c>
      <c r="R257" s="29">
        <v>450</v>
      </c>
      <c r="S257" s="68">
        <f>SUM(J257:O257)</f>
        <v>2780</v>
      </c>
      <c r="T257" s="20">
        <v>2024</v>
      </c>
    </row>
    <row r="258" spans="1:20" ht="45">
      <c r="A258" s="17" t="s">
        <v>337</v>
      </c>
      <c r="B258" s="17">
        <v>1</v>
      </c>
      <c r="C258" s="17">
        <v>3</v>
      </c>
      <c r="D258" s="17">
        <v>2</v>
      </c>
      <c r="E258" s="17">
        <v>0</v>
      </c>
      <c r="F258" s="17">
        <v>3</v>
      </c>
      <c r="G258" s="17"/>
      <c r="H258" s="18" t="s">
        <v>121</v>
      </c>
      <c r="I258" s="69" t="s">
        <v>253</v>
      </c>
      <c r="J258" s="20" t="s">
        <v>267</v>
      </c>
      <c r="K258" s="20" t="s">
        <v>267</v>
      </c>
      <c r="L258" s="19" t="s">
        <v>267</v>
      </c>
      <c r="M258" s="20" t="s">
        <v>267</v>
      </c>
      <c r="N258" s="20" t="s">
        <v>267</v>
      </c>
      <c r="O258" s="20" t="s">
        <v>267</v>
      </c>
      <c r="P258" s="20" t="s">
        <v>267</v>
      </c>
      <c r="Q258" s="20" t="s">
        <v>267</v>
      </c>
      <c r="R258" s="20" t="s">
        <v>267</v>
      </c>
      <c r="S258" s="70" t="s">
        <v>267</v>
      </c>
      <c r="T258" s="20">
        <v>2024</v>
      </c>
    </row>
    <row r="259" spans="1:20" ht="60">
      <c r="A259" s="17" t="s">
        <v>337</v>
      </c>
      <c r="B259" s="17">
        <v>1</v>
      </c>
      <c r="C259" s="17">
        <v>3</v>
      </c>
      <c r="D259" s="17">
        <v>2</v>
      </c>
      <c r="E259" s="17">
        <v>0</v>
      </c>
      <c r="F259" s="17">
        <v>3</v>
      </c>
      <c r="G259" s="17"/>
      <c r="H259" s="18" t="s">
        <v>122</v>
      </c>
      <c r="I259" s="93" t="s">
        <v>265</v>
      </c>
      <c r="J259" s="29">
        <v>5</v>
      </c>
      <c r="K259" s="29">
        <v>18</v>
      </c>
      <c r="L259" s="29">
        <v>11</v>
      </c>
      <c r="M259" s="29">
        <v>15</v>
      </c>
      <c r="N259" s="29">
        <v>20</v>
      </c>
      <c r="O259" s="29">
        <v>20</v>
      </c>
      <c r="P259" s="29">
        <v>20</v>
      </c>
      <c r="Q259" s="29">
        <v>20</v>
      </c>
      <c r="R259" s="29">
        <v>20</v>
      </c>
      <c r="S259" s="68">
        <f>SUM(J259:O259)</f>
        <v>89</v>
      </c>
      <c r="T259" s="20">
        <v>2024</v>
      </c>
    </row>
    <row r="260" spans="1:20" ht="30">
      <c r="A260" s="17" t="s">
        <v>337</v>
      </c>
      <c r="B260" s="17">
        <v>1</v>
      </c>
      <c r="C260" s="17">
        <v>3</v>
      </c>
      <c r="D260" s="17">
        <v>2</v>
      </c>
      <c r="E260" s="17">
        <v>0</v>
      </c>
      <c r="F260" s="17">
        <v>4</v>
      </c>
      <c r="G260" s="17"/>
      <c r="H260" s="18" t="s">
        <v>123</v>
      </c>
      <c r="I260" s="17" t="s">
        <v>253</v>
      </c>
      <c r="J260" s="20" t="s">
        <v>267</v>
      </c>
      <c r="K260" s="20" t="s">
        <v>267</v>
      </c>
      <c r="L260" s="19" t="s">
        <v>267</v>
      </c>
      <c r="M260" s="20" t="s">
        <v>267</v>
      </c>
      <c r="N260" s="20" t="s">
        <v>267</v>
      </c>
      <c r="O260" s="20" t="s">
        <v>267</v>
      </c>
      <c r="P260" s="20" t="s">
        <v>267</v>
      </c>
      <c r="Q260" s="20" t="s">
        <v>267</v>
      </c>
      <c r="R260" s="20" t="s">
        <v>267</v>
      </c>
      <c r="S260" s="19" t="s">
        <v>267</v>
      </c>
      <c r="T260" s="20">
        <v>2024</v>
      </c>
    </row>
    <row r="261" spans="1:20" ht="30">
      <c r="A261" s="17" t="s">
        <v>337</v>
      </c>
      <c r="B261" s="17">
        <v>1</v>
      </c>
      <c r="C261" s="17">
        <v>3</v>
      </c>
      <c r="D261" s="17">
        <v>2</v>
      </c>
      <c r="E261" s="17">
        <v>0</v>
      </c>
      <c r="F261" s="17">
        <v>4</v>
      </c>
      <c r="G261" s="17"/>
      <c r="H261" s="18" t="s">
        <v>422</v>
      </c>
      <c r="I261" s="91" t="s">
        <v>265</v>
      </c>
      <c r="J261" s="67">
        <v>150</v>
      </c>
      <c r="K261" s="67">
        <v>63</v>
      </c>
      <c r="L261" s="29">
        <v>86</v>
      </c>
      <c r="M261" s="29">
        <v>55</v>
      </c>
      <c r="N261" s="29">
        <v>60</v>
      </c>
      <c r="O261" s="29">
        <v>60</v>
      </c>
      <c r="P261" s="29">
        <v>60</v>
      </c>
      <c r="Q261" s="29">
        <v>60</v>
      </c>
      <c r="R261" s="29">
        <v>60</v>
      </c>
      <c r="S261" s="29">
        <f>SUM(J261:O261)</f>
        <v>474</v>
      </c>
      <c r="T261" s="20">
        <v>2024</v>
      </c>
    </row>
    <row r="262" spans="1:20" ht="30">
      <c r="A262" s="17" t="s">
        <v>337</v>
      </c>
      <c r="B262" s="17">
        <v>1</v>
      </c>
      <c r="C262" s="17">
        <v>3</v>
      </c>
      <c r="D262" s="17">
        <v>2</v>
      </c>
      <c r="E262" s="17">
        <v>0</v>
      </c>
      <c r="F262" s="17">
        <v>5</v>
      </c>
      <c r="G262" s="17"/>
      <c r="H262" s="18" t="s">
        <v>5</v>
      </c>
      <c r="I262" s="17" t="s">
        <v>253</v>
      </c>
      <c r="J262" s="20" t="s">
        <v>267</v>
      </c>
      <c r="K262" s="20" t="s">
        <v>267</v>
      </c>
      <c r="L262" s="19" t="s">
        <v>267</v>
      </c>
      <c r="M262" s="20" t="s">
        <v>90</v>
      </c>
      <c r="N262" s="20" t="s">
        <v>267</v>
      </c>
      <c r="O262" s="20" t="s">
        <v>267</v>
      </c>
      <c r="P262" s="20" t="s">
        <v>267</v>
      </c>
      <c r="Q262" s="20" t="s">
        <v>267</v>
      </c>
      <c r="R262" s="20" t="s">
        <v>267</v>
      </c>
      <c r="S262" s="19" t="s">
        <v>267</v>
      </c>
      <c r="T262" s="20">
        <v>2024</v>
      </c>
    </row>
    <row r="263" spans="1:20" ht="60">
      <c r="A263" s="17" t="s">
        <v>337</v>
      </c>
      <c r="B263" s="17">
        <v>1</v>
      </c>
      <c r="C263" s="17">
        <v>3</v>
      </c>
      <c r="D263" s="17">
        <v>2</v>
      </c>
      <c r="E263" s="17">
        <v>0</v>
      </c>
      <c r="F263" s="17">
        <v>5</v>
      </c>
      <c r="G263" s="17"/>
      <c r="H263" s="18" t="s">
        <v>6</v>
      </c>
      <c r="I263" s="91" t="s">
        <v>265</v>
      </c>
      <c r="J263" s="29">
        <v>1</v>
      </c>
      <c r="K263" s="29">
        <v>4</v>
      </c>
      <c r="L263" s="29">
        <v>2</v>
      </c>
      <c r="M263" s="29">
        <v>0</v>
      </c>
      <c r="N263" s="29">
        <v>5</v>
      </c>
      <c r="O263" s="29">
        <v>5</v>
      </c>
      <c r="P263" s="29">
        <v>5</v>
      </c>
      <c r="Q263" s="29">
        <v>5</v>
      </c>
      <c r="R263" s="29">
        <v>5</v>
      </c>
      <c r="S263" s="29">
        <f>SUM(J263:O263)</f>
        <v>17</v>
      </c>
      <c r="T263" s="20">
        <v>2024</v>
      </c>
    </row>
    <row r="264" spans="1:20" ht="45">
      <c r="A264" s="17" t="s">
        <v>337</v>
      </c>
      <c r="B264" s="17">
        <v>1</v>
      </c>
      <c r="C264" s="17">
        <v>3</v>
      </c>
      <c r="D264" s="17">
        <v>2</v>
      </c>
      <c r="E264" s="17">
        <v>0</v>
      </c>
      <c r="F264" s="17">
        <v>6</v>
      </c>
      <c r="G264" s="17"/>
      <c r="H264" s="18" t="s">
        <v>124</v>
      </c>
      <c r="I264" s="17" t="s">
        <v>253</v>
      </c>
      <c r="J264" s="20" t="s">
        <v>267</v>
      </c>
      <c r="K264" s="20" t="s">
        <v>267</v>
      </c>
      <c r="L264" s="19" t="s">
        <v>267</v>
      </c>
      <c r="M264" s="20" t="s">
        <v>267</v>
      </c>
      <c r="N264" s="20" t="s">
        <v>267</v>
      </c>
      <c r="O264" s="20" t="s">
        <v>267</v>
      </c>
      <c r="P264" s="20" t="s">
        <v>267</v>
      </c>
      <c r="Q264" s="20" t="s">
        <v>267</v>
      </c>
      <c r="R264" s="20" t="s">
        <v>267</v>
      </c>
      <c r="S264" s="19" t="s">
        <v>267</v>
      </c>
      <c r="T264" s="20">
        <v>2024</v>
      </c>
    </row>
    <row r="265" spans="1:20" ht="30">
      <c r="A265" s="17" t="s">
        <v>337</v>
      </c>
      <c r="B265" s="17">
        <v>1</v>
      </c>
      <c r="C265" s="17">
        <v>3</v>
      </c>
      <c r="D265" s="17">
        <v>2</v>
      </c>
      <c r="E265" s="17">
        <v>0</v>
      </c>
      <c r="F265" s="17">
        <v>6</v>
      </c>
      <c r="G265" s="17"/>
      <c r="H265" s="18" t="s">
        <v>421</v>
      </c>
      <c r="I265" s="91" t="s">
        <v>265</v>
      </c>
      <c r="J265" s="29">
        <v>25</v>
      </c>
      <c r="K265" s="29">
        <v>45</v>
      </c>
      <c r="L265" s="29">
        <v>40</v>
      </c>
      <c r="M265" s="29">
        <f>ROUND(26/10*12,0)</f>
        <v>31</v>
      </c>
      <c r="N265" s="29">
        <v>40</v>
      </c>
      <c r="O265" s="29">
        <v>40</v>
      </c>
      <c r="P265" s="29">
        <v>40</v>
      </c>
      <c r="Q265" s="29">
        <v>40</v>
      </c>
      <c r="R265" s="29">
        <v>40</v>
      </c>
      <c r="S265" s="29">
        <f>SUM(J265:O265)</f>
        <v>221</v>
      </c>
      <c r="T265" s="20">
        <v>2024</v>
      </c>
    </row>
    <row r="266" spans="1:20" ht="60">
      <c r="A266" s="17" t="s">
        <v>337</v>
      </c>
      <c r="B266" s="17">
        <v>1</v>
      </c>
      <c r="C266" s="17">
        <v>3</v>
      </c>
      <c r="D266" s="17">
        <v>2</v>
      </c>
      <c r="E266" s="17">
        <v>0</v>
      </c>
      <c r="F266" s="17">
        <v>7</v>
      </c>
      <c r="G266" s="17"/>
      <c r="H266" s="18" t="s">
        <v>448</v>
      </c>
      <c r="I266" s="17" t="s">
        <v>253</v>
      </c>
      <c r="J266" s="20" t="s">
        <v>267</v>
      </c>
      <c r="K266" s="20" t="s">
        <v>267</v>
      </c>
      <c r="L266" s="19" t="s">
        <v>267</v>
      </c>
      <c r="M266" s="20" t="s">
        <v>90</v>
      </c>
      <c r="N266" s="20" t="s">
        <v>90</v>
      </c>
      <c r="O266" s="20" t="s">
        <v>90</v>
      </c>
      <c r="P266" s="20" t="s">
        <v>90</v>
      </c>
      <c r="Q266" s="20" t="s">
        <v>90</v>
      </c>
      <c r="R266" s="20" t="s">
        <v>90</v>
      </c>
      <c r="S266" s="19" t="s">
        <v>267</v>
      </c>
      <c r="T266" s="20">
        <v>2024</v>
      </c>
    </row>
    <row r="267" spans="1:20" ht="45">
      <c r="A267" s="17" t="s">
        <v>337</v>
      </c>
      <c r="B267" s="17">
        <v>1</v>
      </c>
      <c r="C267" s="17">
        <v>3</v>
      </c>
      <c r="D267" s="17">
        <v>2</v>
      </c>
      <c r="E267" s="17">
        <v>0</v>
      </c>
      <c r="F267" s="17">
        <v>7</v>
      </c>
      <c r="G267" s="17"/>
      <c r="H267" s="18" t="s">
        <v>7</v>
      </c>
      <c r="I267" s="91" t="s">
        <v>265</v>
      </c>
      <c r="J267" s="29">
        <v>25</v>
      </c>
      <c r="K267" s="29">
        <v>25</v>
      </c>
      <c r="L267" s="29">
        <v>25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f>SUM(J267:O267)</f>
        <v>75</v>
      </c>
      <c r="T267" s="20">
        <v>2024</v>
      </c>
    </row>
    <row r="268" spans="1:20" ht="45">
      <c r="A268" s="17" t="s">
        <v>337</v>
      </c>
      <c r="B268" s="17">
        <v>1</v>
      </c>
      <c r="C268" s="17">
        <v>3</v>
      </c>
      <c r="D268" s="17">
        <v>2</v>
      </c>
      <c r="E268" s="17">
        <v>0</v>
      </c>
      <c r="F268" s="17">
        <v>8</v>
      </c>
      <c r="G268" s="17"/>
      <c r="H268" s="18" t="s">
        <v>125</v>
      </c>
      <c r="I268" s="17" t="s">
        <v>253</v>
      </c>
      <c r="J268" s="20" t="s">
        <v>267</v>
      </c>
      <c r="K268" s="20" t="s">
        <v>267</v>
      </c>
      <c r="L268" s="19" t="s">
        <v>267</v>
      </c>
      <c r="M268" s="20" t="s">
        <v>267</v>
      </c>
      <c r="N268" s="20" t="s">
        <v>267</v>
      </c>
      <c r="O268" s="20" t="s">
        <v>267</v>
      </c>
      <c r="P268" s="20" t="s">
        <v>267</v>
      </c>
      <c r="Q268" s="20" t="s">
        <v>267</v>
      </c>
      <c r="R268" s="20" t="s">
        <v>267</v>
      </c>
      <c r="S268" s="19" t="s">
        <v>267</v>
      </c>
      <c r="T268" s="20">
        <v>2024</v>
      </c>
    </row>
    <row r="269" spans="1:20" ht="45">
      <c r="A269" s="17" t="s">
        <v>337</v>
      </c>
      <c r="B269" s="17">
        <v>1</v>
      </c>
      <c r="C269" s="17">
        <v>3</v>
      </c>
      <c r="D269" s="17">
        <v>2</v>
      </c>
      <c r="E269" s="17">
        <v>0</v>
      </c>
      <c r="F269" s="17">
        <v>8</v>
      </c>
      <c r="G269" s="17"/>
      <c r="H269" s="18" t="s">
        <v>19</v>
      </c>
      <c r="I269" s="91" t="s">
        <v>265</v>
      </c>
      <c r="J269" s="67">
        <v>5</v>
      </c>
      <c r="K269" s="67">
        <v>12</v>
      </c>
      <c r="L269" s="29">
        <v>21</v>
      </c>
      <c r="M269" s="29">
        <v>6</v>
      </c>
      <c r="N269" s="29">
        <v>10</v>
      </c>
      <c r="O269" s="29">
        <v>10</v>
      </c>
      <c r="P269" s="29">
        <v>10</v>
      </c>
      <c r="Q269" s="29">
        <v>10</v>
      </c>
      <c r="R269" s="29">
        <v>10</v>
      </c>
      <c r="S269" s="29">
        <f>SUM(J269:O269)</f>
        <v>64</v>
      </c>
      <c r="T269" s="20">
        <v>2024</v>
      </c>
    </row>
    <row r="270" spans="1:20" ht="45">
      <c r="A270" s="17" t="s">
        <v>337</v>
      </c>
      <c r="B270" s="17">
        <v>1</v>
      </c>
      <c r="C270" s="17">
        <v>3</v>
      </c>
      <c r="D270" s="17">
        <v>2</v>
      </c>
      <c r="E270" s="17">
        <v>0</v>
      </c>
      <c r="F270" s="17">
        <v>9</v>
      </c>
      <c r="G270" s="17"/>
      <c r="H270" s="18" t="s">
        <v>126</v>
      </c>
      <c r="I270" s="17" t="s">
        <v>253</v>
      </c>
      <c r="J270" s="20" t="s">
        <v>267</v>
      </c>
      <c r="K270" s="20" t="s">
        <v>267</v>
      </c>
      <c r="L270" s="19" t="s">
        <v>267</v>
      </c>
      <c r="M270" s="20" t="s">
        <v>90</v>
      </c>
      <c r="N270" s="20" t="s">
        <v>90</v>
      </c>
      <c r="O270" s="20" t="s">
        <v>90</v>
      </c>
      <c r="P270" s="20" t="s">
        <v>90</v>
      </c>
      <c r="Q270" s="20" t="s">
        <v>90</v>
      </c>
      <c r="R270" s="20" t="s">
        <v>90</v>
      </c>
      <c r="S270" s="19" t="s">
        <v>267</v>
      </c>
      <c r="T270" s="20">
        <v>2024</v>
      </c>
    </row>
    <row r="271" spans="1:20" ht="45">
      <c r="A271" s="17" t="s">
        <v>337</v>
      </c>
      <c r="B271" s="17">
        <v>1</v>
      </c>
      <c r="C271" s="17">
        <v>3</v>
      </c>
      <c r="D271" s="17">
        <v>2</v>
      </c>
      <c r="E271" s="17">
        <v>0</v>
      </c>
      <c r="F271" s="17">
        <v>9</v>
      </c>
      <c r="G271" s="17"/>
      <c r="H271" s="18" t="s">
        <v>20</v>
      </c>
      <c r="I271" s="91" t="s">
        <v>265</v>
      </c>
      <c r="J271" s="29">
        <v>1</v>
      </c>
      <c r="K271" s="29">
        <v>2</v>
      </c>
      <c r="L271" s="29">
        <v>6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f>SUM(J271:O271)</f>
        <v>9</v>
      </c>
      <c r="T271" s="20">
        <v>2024</v>
      </c>
    </row>
    <row r="272" spans="1:20" ht="45">
      <c r="A272" s="17" t="s">
        <v>337</v>
      </c>
      <c r="B272" s="17">
        <v>1</v>
      </c>
      <c r="C272" s="17">
        <v>3</v>
      </c>
      <c r="D272" s="17">
        <v>2</v>
      </c>
      <c r="E272" s="17">
        <v>1</v>
      </c>
      <c r="F272" s="17">
        <v>0</v>
      </c>
      <c r="G272" s="17"/>
      <c r="H272" s="18" t="s">
        <v>21</v>
      </c>
      <c r="I272" s="17" t="s">
        <v>253</v>
      </c>
      <c r="J272" s="20" t="s">
        <v>267</v>
      </c>
      <c r="K272" s="20" t="s">
        <v>267</v>
      </c>
      <c r="L272" s="19" t="s">
        <v>267</v>
      </c>
      <c r="M272" s="20" t="s">
        <v>267</v>
      </c>
      <c r="N272" s="20" t="s">
        <v>267</v>
      </c>
      <c r="O272" s="20" t="s">
        <v>267</v>
      </c>
      <c r="P272" s="20" t="s">
        <v>267</v>
      </c>
      <c r="Q272" s="20" t="s">
        <v>267</v>
      </c>
      <c r="R272" s="20" t="s">
        <v>267</v>
      </c>
      <c r="S272" s="19" t="s">
        <v>267</v>
      </c>
      <c r="T272" s="20">
        <v>2024</v>
      </c>
    </row>
    <row r="273" spans="1:20" ht="60">
      <c r="A273" s="17" t="s">
        <v>337</v>
      </c>
      <c r="B273" s="17">
        <v>1</v>
      </c>
      <c r="C273" s="17">
        <v>3</v>
      </c>
      <c r="D273" s="17">
        <v>2</v>
      </c>
      <c r="E273" s="17">
        <v>1</v>
      </c>
      <c r="F273" s="17">
        <v>0</v>
      </c>
      <c r="G273" s="17"/>
      <c r="H273" s="18" t="s">
        <v>127</v>
      </c>
      <c r="I273" s="91" t="s">
        <v>265</v>
      </c>
      <c r="J273" s="67">
        <v>4</v>
      </c>
      <c r="K273" s="67">
        <v>5</v>
      </c>
      <c r="L273" s="29">
        <v>9</v>
      </c>
      <c r="M273" s="29">
        <v>5</v>
      </c>
      <c r="N273" s="29">
        <v>5</v>
      </c>
      <c r="O273" s="29">
        <v>5</v>
      </c>
      <c r="P273" s="29">
        <v>5</v>
      </c>
      <c r="Q273" s="29">
        <v>5</v>
      </c>
      <c r="R273" s="29">
        <v>5</v>
      </c>
      <c r="S273" s="29">
        <f>SUM(J273:O273)</f>
        <v>33</v>
      </c>
      <c r="T273" s="20">
        <v>2024</v>
      </c>
    </row>
    <row r="274" spans="1:20" ht="30">
      <c r="A274" s="17" t="s">
        <v>337</v>
      </c>
      <c r="B274" s="17">
        <v>1</v>
      </c>
      <c r="C274" s="17">
        <v>3</v>
      </c>
      <c r="D274" s="17">
        <v>2</v>
      </c>
      <c r="E274" s="17">
        <v>1</v>
      </c>
      <c r="F274" s="17">
        <v>1</v>
      </c>
      <c r="G274" s="17"/>
      <c r="H274" s="18" t="s">
        <v>128</v>
      </c>
      <c r="I274" s="17" t="s">
        <v>253</v>
      </c>
      <c r="J274" s="20" t="s">
        <v>267</v>
      </c>
      <c r="K274" s="20" t="s">
        <v>267</v>
      </c>
      <c r="L274" s="19" t="s">
        <v>267</v>
      </c>
      <c r="M274" s="20" t="s">
        <v>267</v>
      </c>
      <c r="N274" s="20" t="s">
        <v>267</v>
      </c>
      <c r="O274" s="20" t="s">
        <v>267</v>
      </c>
      <c r="P274" s="20" t="s">
        <v>267</v>
      </c>
      <c r="Q274" s="20" t="s">
        <v>267</v>
      </c>
      <c r="R274" s="20" t="s">
        <v>267</v>
      </c>
      <c r="S274" s="19" t="s">
        <v>267</v>
      </c>
      <c r="T274" s="20">
        <v>2024</v>
      </c>
    </row>
    <row r="275" spans="1:20" ht="30">
      <c r="A275" s="17" t="s">
        <v>337</v>
      </c>
      <c r="B275" s="17">
        <v>1</v>
      </c>
      <c r="C275" s="17">
        <v>3</v>
      </c>
      <c r="D275" s="17">
        <v>2</v>
      </c>
      <c r="E275" s="17">
        <v>1</v>
      </c>
      <c r="F275" s="17">
        <v>1</v>
      </c>
      <c r="G275" s="17"/>
      <c r="H275" s="18" t="s">
        <v>419</v>
      </c>
      <c r="I275" s="91" t="s">
        <v>265</v>
      </c>
      <c r="J275" s="67">
        <v>40</v>
      </c>
      <c r="K275" s="67">
        <v>40</v>
      </c>
      <c r="L275" s="29">
        <v>45</v>
      </c>
      <c r="M275" s="29">
        <v>25</v>
      </c>
      <c r="N275" s="29">
        <v>30</v>
      </c>
      <c r="O275" s="29">
        <v>30</v>
      </c>
      <c r="P275" s="29">
        <v>30</v>
      </c>
      <c r="Q275" s="29">
        <v>30</v>
      </c>
      <c r="R275" s="29">
        <v>30</v>
      </c>
      <c r="S275" s="29">
        <f>SUM(J275:O275)</f>
        <v>210</v>
      </c>
      <c r="T275" s="20">
        <v>2024</v>
      </c>
    </row>
    <row r="276" spans="1:20" ht="30">
      <c r="A276" s="17" t="s">
        <v>337</v>
      </c>
      <c r="B276" s="17">
        <v>1</v>
      </c>
      <c r="C276" s="17">
        <v>3</v>
      </c>
      <c r="D276" s="17">
        <v>2</v>
      </c>
      <c r="E276" s="17">
        <v>1</v>
      </c>
      <c r="F276" s="17">
        <v>2</v>
      </c>
      <c r="G276" s="17"/>
      <c r="H276" s="18" t="s">
        <v>53</v>
      </c>
      <c r="I276" s="17" t="s">
        <v>253</v>
      </c>
      <c r="J276" s="20" t="s">
        <v>267</v>
      </c>
      <c r="K276" s="20" t="s">
        <v>267</v>
      </c>
      <c r="L276" s="19" t="s">
        <v>267</v>
      </c>
      <c r="M276" s="20" t="s">
        <v>267</v>
      </c>
      <c r="N276" s="20" t="s">
        <v>267</v>
      </c>
      <c r="O276" s="20" t="s">
        <v>267</v>
      </c>
      <c r="P276" s="20" t="s">
        <v>267</v>
      </c>
      <c r="Q276" s="20" t="s">
        <v>267</v>
      </c>
      <c r="R276" s="20" t="s">
        <v>267</v>
      </c>
      <c r="S276" s="19" t="s">
        <v>267</v>
      </c>
      <c r="T276" s="20">
        <v>2024</v>
      </c>
    </row>
    <row r="277" spans="1:20" ht="30">
      <c r="A277" s="17" t="s">
        <v>337</v>
      </c>
      <c r="B277" s="17">
        <v>1</v>
      </c>
      <c r="C277" s="17">
        <v>3</v>
      </c>
      <c r="D277" s="17">
        <v>2</v>
      </c>
      <c r="E277" s="17">
        <v>1</v>
      </c>
      <c r="F277" s="17">
        <v>2</v>
      </c>
      <c r="G277" s="17"/>
      <c r="H277" s="18" t="s">
        <v>420</v>
      </c>
      <c r="I277" s="91" t="s">
        <v>265</v>
      </c>
      <c r="J277" s="67">
        <v>180</v>
      </c>
      <c r="K277" s="67">
        <v>160</v>
      </c>
      <c r="L277" s="29">
        <v>142</v>
      </c>
      <c r="M277" s="29">
        <f>ROUND(72/10*12,0)</f>
        <v>86</v>
      </c>
      <c r="N277" s="29">
        <v>170</v>
      </c>
      <c r="O277" s="29">
        <v>170</v>
      </c>
      <c r="P277" s="29">
        <v>170</v>
      </c>
      <c r="Q277" s="29">
        <v>170</v>
      </c>
      <c r="R277" s="29">
        <v>170</v>
      </c>
      <c r="S277" s="29">
        <f>SUM(J277:O277)</f>
        <v>908</v>
      </c>
      <c r="T277" s="20">
        <v>2024</v>
      </c>
    </row>
    <row r="278" spans="1:20" ht="30">
      <c r="A278" s="17" t="s">
        <v>337</v>
      </c>
      <c r="B278" s="17">
        <v>1</v>
      </c>
      <c r="C278" s="17">
        <v>3</v>
      </c>
      <c r="D278" s="17">
        <v>2</v>
      </c>
      <c r="E278" s="17">
        <v>1</v>
      </c>
      <c r="F278" s="17">
        <v>3</v>
      </c>
      <c r="G278" s="17"/>
      <c r="H278" s="18" t="s">
        <v>145</v>
      </c>
      <c r="I278" s="17" t="s">
        <v>253</v>
      </c>
      <c r="J278" s="20" t="s">
        <v>267</v>
      </c>
      <c r="K278" s="20" t="s">
        <v>267</v>
      </c>
      <c r="L278" s="19" t="s">
        <v>267</v>
      </c>
      <c r="M278" s="20" t="s">
        <v>267</v>
      </c>
      <c r="N278" s="20" t="s">
        <v>267</v>
      </c>
      <c r="O278" s="20" t="s">
        <v>267</v>
      </c>
      <c r="P278" s="20" t="s">
        <v>267</v>
      </c>
      <c r="Q278" s="20" t="s">
        <v>267</v>
      </c>
      <c r="R278" s="20" t="s">
        <v>267</v>
      </c>
      <c r="S278" s="19" t="s">
        <v>267</v>
      </c>
      <c r="T278" s="20">
        <v>2024</v>
      </c>
    </row>
    <row r="279" spans="1:20" ht="30">
      <c r="A279" s="17" t="s">
        <v>337</v>
      </c>
      <c r="B279" s="17">
        <v>1</v>
      </c>
      <c r="C279" s="17">
        <v>3</v>
      </c>
      <c r="D279" s="17">
        <v>2</v>
      </c>
      <c r="E279" s="17">
        <v>1</v>
      </c>
      <c r="F279" s="17">
        <v>3</v>
      </c>
      <c r="G279" s="17"/>
      <c r="H279" s="18" t="s">
        <v>415</v>
      </c>
      <c r="I279" s="91" t="s">
        <v>265</v>
      </c>
      <c r="J279" s="67">
        <v>44</v>
      </c>
      <c r="K279" s="67">
        <v>150</v>
      </c>
      <c r="L279" s="29">
        <v>175</v>
      </c>
      <c r="M279" s="29">
        <f>ROUND(146/10*12,0)</f>
        <v>175</v>
      </c>
      <c r="N279" s="29">
        <v>200</v>
      </c>
      <c r="O279" s="29">
        <v>200</v>
      </c>
      <c r="P279" s="29">
        <v>200</v>
      </c>
      <c r="Q279" s="29">
        <v>200</v>
      </c>
      <c r="R279" s="29">
        <v>200</v>
      </c>
      <c r="S279" s="29">
        <f>SUM(J279:O279)</f>
        <v>944</v>
      </c>
      <c r="T279" s="20">
        <v>2024</v>
      </c>
    </row>
    <row r="280" spans="1:25" ht="14.25">
      <c r="A280" s="10" t="s">
        <v>337</v>
      </c>
      <c r="B280" s="10">
        <v>1</v>
      </c>
      <c r="C280" s="10">
        <v>4</v>
      </c>
      <c r="D280" s="10">
        <v>0</v>
      </c>
      <c r="E280" s="10">
        <v>0</v>
      </c>
      <c r="F280" s="10">
        <v>0</v>
      </c>
      <c r="G280" s="10"/>
      <c r="H280" s="11" t="s">
        <v>54</v>
      </c>
      <c r="I280" s="12" t="s">
        <v>264</v>
      </c>
      <c r="J280" s="30">
        <f>J281+J282+J283</f>
        <v>161734.5</v>
      </c>
      <c r="K280" s="30">
        <f aca="true" t="shared" si="59" ref="K280:S280">K281+K282+K283</f>
        <v>130490.5</v>
      </c>
      <c r="L280" s="30">
        <f t="shared" si="59"/>
        <v>77742.8</v>
      </c>
      <c r="M280" s="30">
        <f t="shared" si="59"/>
        <v>80717.20000000001</v>
      </c>
      <c r="N280" s="30">
        <f t="shared" si="59"/>
        <v>38972.2</v>
      </c>
      <c r="O280" s="30">
        <f t="shared" si="59"/>
        <v>58954.2</v>
      </c>
      <c r="P280" s="30">
        <f>P281+P282+P283</f>
        <v>58954.2</v>
      </c>
      <c r="Q280" s="30">
        <f>Q281+Q282+Q283</f>
        <v>58954.2</v>
      </c>
      <c r="R280" s="30">
        <f>R281+R282+R283</f>
        <v>58954.2</v>
      </c>
      <c r="S280" s="30">
        <f t="shared" si="59"/>
        <v>725474</v>
      </c>
      <c r="T280" s="14">
        <v>2024</v>
      </c>
      <c r="Y280" s="16"/>
    </row>
    <row r="281" spans="1:20" ht="15">
      <c r="A281" s="17" t="s">
        <v>337</v>
      </c>
      <c r="B281" s="17">
        <v>1</v>
      </c>
      <c r="C281" s="17">
        <v>4</v>
      </c>
      <c r="D281" s="17">
        <v>0</v>
      </c>
      <c r="E281" s="17">
        <v>0</v>
      </c>
      <c r="F281" s="17">
        <v>0</v>
      </c>
      <c r="G281" s="17">
        <v>1</v>
      </c>
      <c r="H281" s="18" t="s">
        <v>222</v>
      </c>
      <c r="I281" s="91" t="s">
        <v>264</v>
      </c>
      <c r="J281" s="21">
        <f>J285</f>
        <v>70451.79999999999</v>
      </c>
      <c r="K281" s="21">
        <f aca="true" t="shared" si="60" ref="K281:O283">K285</f>
        <v>33900.6</v>
      </c>
      <c r="L281" s="21">
        <f t="shared" si="60"/>
        <v>28676.8</v>
      </c>
      <c r="M281" s="21">
        <f t="shared" si="60"/>
        <v>35969.8</v>
      </c>
      <c r="N281" s="21">
        <f t="shared" si="60"/>
        <v>17367.1</v>
      </c>
      <c r="O281" s="21">
        <f t="shared" si="60"/>
        <v>29755.6</v>
      </c>
      <c r="P281" s="21">
        <f aca="true" t="shared" si="61" ref="P281:R283">P285</f>
        <v>29755.6</v>
      </c>
      <c r="Q281" s="21">
        <f t="shared" si="61"/>
        <v>29755.6</v>
      </c>
      <c r="R281" s="21">
        <f t="shared" si="61"/>
        <v>29755.6</v>
      </c>
      <c r="S281" s="21">
        <f aca="true" t="shared" si="62" ref="S281:S286">SUM(J281:R281)</f>
        <v>305388.5</v>
      </c>
      <c r="T281" s="20">
        <v>2024</v>
      </c>
    </row>
    <row r="282" spans="1:20" ht="15">
      <c r="A282" s="17" t="s">
        <v>337</v>
      </c>
      <c r="B282" s="17">
        <v>1</v>
      </c>
      <c r="C282" s="17">
        <v>4</v>
      </c>
      <c r="D282" s="17">
        <v>0</v>
      </c>
      <c r="E282" s="17">
        <v>0</v>
      </c>
      <c r="F282" s="17">
        <v>0</v>
      </c>
      <c r="G282" s="17">
        <v>2</v>
      </c>
      <c r="H282" s="18" t="s">
        <v>233</v>
      </c>
      <c r="I282" s="91" t="s">
        <v>264</v>
      </c>
      <c r="J282" s="21">
        <f>J286</f>
        <v>54768.899999999994</v>
      </c>
      <c r="K282" s="21">
        <f t="shared" si="60"/>
        <v>64032.8</v>
      </c>
      <c r="L282" s="21">
        <f t="shared" si="60"/>
        <v>27229.8</v>
      </c>
      <c r="M282" s="21">
        <f t="shared" si="60"/>
        <v>21964.8</v>
      </c>
      <c r="N282" s="21">
        <f t="shared" si="60"/>
        <v>10605.1</v>
      </c>
      <c r="O282" s="21">
        <f t="shared" si="60"/>
        <v>18198.6</v>
      </c>
      <c r="P282" s="21">
        <f t="shared" si="61"/>
        <v>18198.6</v>
      </c>
      <c r="Q282" s="21">
        <f t="shared" si="61"/>
        <v>18198.6</v>
      </c>
      <c r="R282" s="21">
        <f t="shared" si="61"/>
        <v>18198.6</v>
      </c>
      <c r="S282" s="21">
        <f t="shared" si="62"/>
        <v>251395.80000000002</v>
      </c>
      <c r="T282" s="20">
        <v>2024</v>
      </c>
    </row>
    <row r="283" spans="1:20" ht="15">
      <c r="A283" s="17" t="s">
        <v>337</v>
      </c>
      <c r="B283" s="17">
        <v>1</v>
      </c>
      <c r="C283" s="17">
        <v>4</v>
      </c>
      <c r="D283" s="17">
        <v>0</v>
      </c>
      <c r="E283" s="17">
        <v>0</v>
      </c>
      <c r="F283" s="17">
        <v>0</v>
      </c>
      <c r="G283" s="17">
        <v>3</v>
      </c>
      <c r="H283" s="18" t="s">
        <v>234</v>
      </c>
      <c r="I283" s="91" t="s">
        <v>264</v>
      </c>
      <c r="J283" s="21">
        <f>J287</f>
        <v>36513.8</v>
      </c>
      <c r="K283" s="21">
        <f t="shared" si="60"/>
        <v>32557.1</v>
      </c>
      <c r="L283" s="21">
        <f t="shared" si="60"/>
        <v>21836.2</v>
      </c>
      <c r="M283" s="21">
        <f t="shared" si="60"/>
        <v>22782.6</v>
      </c>
      <c r="N283" s="21">
        <f t="shared" si="60"/>
        <v>11000</v>
      </c>
      <c r="O283" s="21">
        <f t="shared" si="60"/>
        <v>11000</v>
      </c>
      <c r="P283" s="21">
        <f t="shared" si="61"/>
        <v>11000</v>
      </c>
      <c r="Q283" s="21">
        <f t="shared" si="61"/>
        <v>11000</v>
      </c>
      <c r="R283" s="21">
        <f t="shared" si="61"/>
        <v>11000</v>
      </c>
      <c r="S283" s="21">
        <f t="shared" si="62"/>
        <v>168689.69999999998</v>
      </c>
      <c r="T283" s="20">
        <v>2024</v>
      </c>
    </row>
    <row r="284" spans="1:26" ht="15">
      <c r="A284" s="17" t="s">
        <v>337</v>
      </c>
      <c r="B284" s="17">
        <v>1</v>
      </c>
      <c r="C284" s="17">
        <v>4</v>
      </c>
      <c r="D284" s="17">
        <v>1</v>
      </c>
      <c r="E284" s="17">
        <v>0</v>
      </c>
      <c r="F284" s="17">
        <v>0</v>
      </c>
      <c r="G284" s="17"/>
      <c r="H284" s="18" t="s">
        <v>273</v>
      </c>
      <c r="I284" s="91" t="s">
        <v>264</v>
      </c>
      <c r="J284" s="19">
        <f aca="true" t="shared" si="63" ref="J284:R284">J285+J286+J287</f>
        <v>161734.5</v>
      </c>
      <c r="K284" s="19">
        <f t="shared" si="63"/>
        <v>130490.5</v>
      </c>
      <c r="L284" s="19">
        <f t="shared" si="63"/>
        <v>77742.8</v>
      </c>
      <c r="M284" s="19">
        <f t="shared" si="63"/>
        <v>80717.20000000001</v>
      </c>
      <c r="N284" s="19">
        <f t="shared" si="63"/>
        <v>38972.2</v>
      </c>
      <c r="O284" s="19">
        <f t="shared" si="63"/>
        <v>58954.2</v>
      </c>
      <c r="P284" s="19">
        <f t="shared" si="63"/>
        <v>58954.2</v>
      </c>
      <c r="Q284" s="19">
        <f t="shared" si="63"/>
        <v>58954.2</v>
      </c>
      <c r="R284" s="19">
        <f t="shared" si="63"/>
        <v>58954.2</v>
      </c>
      <c r="S284" s="21">
        <f t="shared" si="62"/>
        <v>725473.9999999999</v>
      </c>
      <c r="T284" s="20">
        <v>2024</v>
      </c>
      <c r="Z284" s="16"/>
    </row>
    <row r="285" spans="1:20" ht="15">
      <c r="A285" s="17" t="s">
        <v>337</v>
      </c>
      <c r="B285" s="17">
        <v>1</v>
      </c>
      <c r="C285" s="17">
        <v>4</v>
      </c>
      <c r="D285" s="17">
        <v>1</v>
      </c>
      <c r="E285" s="17">
        <v>0</v>
      </c>
      <c r="F285" s="17">
        <v>0</v>
      </c>
      <c r="G285" s="17">
        <v>1</v>
      </c>
      <c r="H285" s="18" t="s">
        <v>222</v>
      </c>
      <c r="I285" s="91" t="s">
        <v>264</v>
      </c>
      <c r="J285" s="21">
        <f aca="true" t="shared" si="64" ref="J285:O287">J295+J300</f>
        <v>70451.79999999999</v>
      </c>
      <c r="K285" s="21">
        <f t="shared" si="64"/>
        <v>33900.6</v>
      </c>
      <c r="L285" s="21">
        <f t="shared" si="64"/>
        <v>28676.8</v>
      </c>
      <c r="M285" s="21">
        <f t="shared" si="64"/>
        <v>35969.8</v>
      </c>
      <c r="N285" s="21">
        <f t="shared" si="64"/>
        <v>17367.1</v>
      </c>
      <c r="O285" s="21">
        <f t="shared" si="64"/>
        <v>29755.6</v>
      </c>
      <c r="P285" s="21">
        <f aca="true" t="shared" si="65" ref="P285:R287">P295+P300</f>
        <v>29755.6</v>
      </c>
      <c r="Q285" s="21">
        <f t="shared" si="65"/>
        <v>29755.6</v>
      </c>
      <c r="R285" s="21">
        <f t="shared" si="65"/>
        <v>29755.6</v>
      </c>
      <c r="S285" s="21">
        <f t="shared" si="62"/>
        <v>305388.5</v>
      </c>
      <c r="T285" s="20">
        <v>2024</v>
      </c>
    </row>
    <row r="286" spans="1:20" ht="15">
      <c r="A286" s="17" t="s">
        <v>337</v>
      </c>
      <c r="B286" s="17">
        <v>1</v>
      </c>
      <c r="C286" s="17">
        <v>4</v>
      </c>
      <c r="D286" s="17">
        <v>1</v>
      </c>
      <c r="E286" s="17">
        <v>0</v>
      </c>
      <c r="F286" s="17">
        <v>0</v>
      </c>
      <c r="G286" s="17">
        <v>2</v>
      </c>
      <c r="H286" s="18" t="s">
        <v>233</v>
      </c>
      <c r="I286" s="91" t="s">
        <v>264</v>
      </c>
      <c r="J286" s="21">
        <f t="shared" si="64"/>
        <v>54768.899999999994</v>
      </c>
      <c r="K286" s="21">
        <f t="shared" si="64"/>
        <v>64032.8</v>
      </c>
      <c r="L286" s="21">
        <f t="shared" si="64"/>
        <v>27229.8</v>
      </c>
      <c r="M286" s="21">
        <f t="shared" si="64"/>
        <v>21964.8</v>
      </c>
      <c r="N286" s="21">
        <f t="shared" si="64"/>
        <v>10605.1</v>
      </c>
      <c r="O286" s="21">
        <f t="shared" si="64"/>
        <v>18198.6</v>
      </c>
      <c r="P286" s="21">
        <f t="shared" si="65"/>
        <v>18198.6</v>
      </c>
      <c r="Q286" s="21">
        <f t="shared" si="65"/>
        <v>18198.6</v>
      </c>
      <c r="R286" s="21">
        <f t="shared" si="65"/>
        <v>18198.6</v>
      </c>
      <c r="S286" s="21">
        <f t="shared" si="62"/>
        <v>251395.80000000002</v>
      </c>
      <c r="T286" s="20">
        <v>2024</v>
      </c>
    </row>
    <row r="287" spans="1:20" ht="15">
      <c r="A287" s="17" t="s">
        <v>337</v>
      </c>
      <c r="B287" s="17">
        <v>1</v>
      </c>
      <c r="C287" s="17">
        <v>4</v>
      </c>
      <c r="D287" s="17">
        <v>1</v>
      </c>
      <c r="E287" s="17">
        <v>0</v>
      </c>
      <c r="F287" s="17">
        <v>0</v>
      </c>
      <c r="G287" s="17">
        <v>3</v>
      </c>
      <c r="H287" s="18" t="s">
        <v>234</v>
      </c>
      <c r="I287" s="91" t="s">
        <v>264</v>
      </c>
      <c r="J287" s="19">
        <f t="shared" si="64"/>
        <v>36513.8</v>
      </c>
      <c r="K287" s="19">
        <f t="shared" si="64"/>
        <v>32557.1</v>
      </c>
      <c r="L287" s="19">
        <f t="shared" si="64"/>
        <v>21836.2</v>
      </c>
      <c r="M287" s="19">
        <f t="shared" si="64"/>
        <v>22782.6</v>
      </c>
      <c r="N287" s="19">
        <f t="shared" si="64"/>
        <v>11000</v>
      </c>
      <c r="O287" s="19">
        <f t="shared" si="64"/>
        <v>11000</v>
      </c>
      <c r="P287" s="19">
        <f t="shared" si="65"/>
        <v>11000</v>
      </c>
      <c r="Q287" s="19">
        <f t="shared" si="65"/>
        <v>11000</v>
      </c>
      <c r="R287" s="19">
        <f t="shared" si="65"/>
        <v>11000</v>
      </c>
      <c r="S287" s="21">
        <f>SUM(J287:R287)</f>
        <v>168689.69999999998</v>
      </c>
      <c r="T287" s="20">
        <v>2024</v>
      </c>
    </row>
    <row r="288" spans="1:20" ht="90">
      <c r="A288" s="17" t="s">
        <v>337</v>
      </c>
      <c r="B288" s="17">
        <v>1</v>
      </c>
      <c r="C288" s="17">
        <v>4</v>
      </c>
      <c r="D288" s="17">
        <v>1</v>
      </c>
      <c r="E288" s="17">
        <v>0</v>
      </c>
      <c r="F288" s="17">
        <v>0</v>
      </c>
      <c r="G288" s="17"/>
      <c r="H288" s="18" t="s">
        <v>22</v>
      </c>
      <c r="I288" s="91" t="s">
        <v>333</v>
      </c>
      <c r="J288" s="21">
        <f>расчет_показ!E110</f>
        <v>65.7142617291597</v>
      </c>
      <c r="K288" s="21">
        <f>расчет_показ!F110</f>
        <v>47.680118143459914</v>
      </c>
      <c r="L288" s="21">
        <f>расчет_показ!G110</f>
        <v>43.04003409967551</v>
      </c>
      <c r="M288" s="21">
        <f>расчет_показ!H110</f>
        <v>42.92072568289319</v>
      </c>
      <c r="N288" s="21">
        <f>расчет_показ!I110</f>
        <v>59.511199999999995</v>
      </c>
      <c r="O288" s="21">
        <f>расчет_показ!J110</f>
        <v>59.511199999999995</v>
      </c>
      <c r="P288" s="21">
        <f>расчет_показ!K110</f>
        <v>59.511199999999995</v>
      </c>
      <c r="Q288" s="21">
        <f>расчет_показ!L110</f>
        <v>59.511199999999995</v>
      </c>
      <c r="R288" s="21">
        <f>расчет_показ!M110</f>
        <v>59.511199999999995</v>
      </c>
      <c r="S288" s="21">
        <f>O288</f>
        <v>59.511199999999995</v>
      </c>
      <c r="T288" s="20">
        <v>2024</v>
      </c>
    </row>
    <row r="289" spans="1:20" ht="105">
      <c r="A289" s="17" t="s">
        <v>337</v>
      </c>
      <c r="B289" s="17">
        <v>1</v>
      </c>
      <c r="C289" s="17">
        <v>4</v>
      </c>
      <c r="D289" s="17">
        <v>1</v>
      </c>
      <c r="E289" s="17">
        <v>0</v>
      </c>
      <c r="F289" s="17">
        <v>0</v>
      </c>
      <c r="G289" s="17"/>
      <c r="H289" s="18" t="s">
        <v>310</v>
      </c>
      <c r="I289" s="91" t="s">
        <v>333</v>
      </c>
      <c r="J289" s="21">
        <f>расчет_показ!E113</f>
        <v>66.52936181791459</v>
      </c>
      <c r="K289" s="21">
        <f>расчет_показ!F113</f>
        <v>67.50069179111439</v>
      </c>
      <c r="L289" s="21">
        <f>расчет_показ!G113</f>
        <v>43.22190476190476</v>
      </c>
      <c r="M289" s="21">
        <f>расчет_показ!H113</f>
        <v>43.13589945011783</v>
      </c>
      <c r="N289" s="21">
        <f>расчет_показ!I113</f>
        <v>36.3972</v>
      </c>
      <c r="O289" s="21">
        <f>расчет_показ!J113</f>
        <v>36.3972</v>
      </c>
      <c r="P289" s="21">
        <f>расчет_показ!K113</f>
        <v>36.3972</v>
      </c>
      <c r="Q289" s="21">
        <f>расчет_показ!L113</f>
        <v>36.3972</v>
      </c>
      <c r="R289" s="21">
        <f>расчет_показ!M113</f>
        <v>36.3972</v>
      </c>
      <c r="S289" s="21">
        <f>O289</f>
        <v>36.3972</v>
      </c>
      <c r="T289" s="20">
        <v>2024</v>
      </c>
    </row>
    <row r="290" spans="1:20" ht="30">
      <c r="A290" s="17" t="s">
        <v>337</v>
      </c>
      <c r="B290" s="17">
        <v>1</v>
      </c>
      <c r="C290" s="17">
        <v>4</v>
      </c>
      <c r="D290" s="17">
        <v>1</v>
      </c>
      <c r="E290" s="17">
        <v>0</v>
      </c>
      <c r="F290" s="17">
        <v>1</v>
      </c>
      <c r="G290" s="17"/>
      <c r="H290" s="18" t="s">
        <v>23</v>
      </c>
      <c r="I290" s="91" t="s">
        <v>253</v>
      </c>
      <c r="J290" s="21" t="s">
        <v>267</v>
      </c>
      <c r="K290" s="21" t="s">
        <v>267</v>
      </c>
      <c r="L290" s="23" t="s">
        <v>267</v>
      </c>
      <c r="M290" s="21" t="s">
        <v>267</v>
      </c>
      <c r="N290" s="21" t="s">
        <v>267</v>
      </c>
      <c r="O290" s="21" t="s">
        <v>267</v>
      </c>
      <c r="P290" s="21" t="s">
        <v>267</v>
      </c>
      <c r="Q290" s="21" t="s">
        <v>267</v>
      </c>
      <c r="R290" s="21" t="s">
        <v>267</v>
      </c>
      <c r="S290" s="21" t="s">
        <v>267</v>
      </c>
      <c r="T290" s="20">
        <v>2024</v>
      </c>
    </row>
    <row r="291" spans="1:20" ht="15">
      <c r="A291" s="17" t="s">
        <v>337</v>
      </c>
      <c r="B291" s="17">
        <v>1</v>
      </c>
      <c r="C291" s="17">
        <v>4</v>
      </c>
      <c r="D291" s="17">
        <v>1</v>
      </c>
      <c r="E291" s="17">
        <v>0</v>
      </c>
      <c r="F291" s="17">
        <v>1</v>
      </c>
      <c r="G291" s="17"/>
      <c r="H291" s="18" t="s">
        <v>252</v>
      </c>
      <c r="I291" s="91" t="s">
        <v>265</v>
      </c>
      <c r="J291" s="28">
        <v>50</v>
      </c>
      <c r="K291" s="28">
        <v>100</v>
      </c>
      <c r="L291" s="28">
        <v>84</v>
      </c>
      <c r="M291" s="28">
        <v>80</v>
      </c>
      <c r="N291" s="28">
        <v>50</v>
      </c>
      <c r="O291" s="28">
        <v>50</v>
      </c>
      <c r="P291" s="28">
        <v>50</v>
      </c>
      <c r="Q291" s="28">
        <v>50</v>
      </c>
      <c r="R291" s="28">
        <v>50</v>
      </c>
      <c r="S291" s="29">
        <f>SUM(J291:O291)</f>
        <v>414</v>
      </c>
      <c r="T291" s="20">
        <v>2024</v>
      </c>
    </row>
    <row r="292" spans="1:20" ht="30">
      <c r="A292" s="17" t="s">
        <v>337</v>
      </c>
      <c r="B292" s="17">
        <v>1</v>
      </c>
      <c r="C292" s="17">
        <v>4</v>
      </c>
      <c r="D292" s="17">
        <v>1</v>
      </c>
      <c r="E292" s="17">
        <v>0</v>
      </c>
      <c r="F292" s="17">
        <v>2</v>
      </c>
      <c r="G292" s="17"/>
      <c r="H292" s="18" t="s">
        <v>129</v>
      </c>
      <c r="I292" s="91" t="s">
        <v>253</v>
      </c>
      <c r="J292" s="21" t="s">
        <v>267</v>
      </c>
      <c r="K292" s="21" t="s">
        <v>267</v>
      </c>
      <c r="L292" s="21" t="s">
        <v>267</v>
      </c>
      <c r="M292" s="21" t="s">
        <v>267</v>
      </c>
      <c r="N292" s="21" t="s">
        <v>267</v>
      </c>
      <c r="O292" s="21" t="s">
        <v>267</v>
      </c>
      <c r="P292" s="21" t="s">
        <v>267</v>
      </c>
      <c r="Q292" s="21" t="s">
        <v>267</v>
      </c>
      <c r="R292" s="21" t="s">
        <v>267</v>
      </c>
      <c r="S292" s="21" t="s">
        <v>267</v>
      </c>
      <c r="T292" s="20">
        <v>2024</v>
      </c>
    </row>
    <row r="293" spans="1:20" ht="15">
      <c r="A293" s="17" t="s">
        <v>337</v>
      </c>
      <c r="B293" s="17">
        <v>1</v>
      </c>
      <c r="C293" s="17">
        <v>4</v>
      </c>
      <c r="D293" s="17">
        <v>1</v>
      </c>
      <c r="E293" s="17">
        <v>0</v>
      </c>
      <c r="F293" s="17">
        <v>2</v>
      </c>
      <c r="G293" s="17"/>
      <c r="H293" s="18" t="s">
        <v>331</v>
      </c>
      <c r="I293" s="91" t="s">
        <v>265</v>
      </c>
      <c r="J293" s="28">
        <v>1</v>
      </c>
      <c r="K293" s="28">
        <v>1</v>
      </c>
      <c r="L293" s="28">
        <v>1</v>
      </c>
      <c r="M293" s="28">
        <v>1</v>
      </c>
      <c r="N293" s="28">
        <v>1</v>
      </c>
      <c r="O293" s="28">
        <v>1</v>
      </c>
      <c r="P293" s="28">
        <v>1</v>
      </c>
      <c r="Q293" s="28">
        <v>1</v>
      </c>
      <c r="R293" s="28">
        <v>1</v>
      </c>
      <c r="S293" s="28">
        <v>1</v>
      </c>
      <c r="T293" s="20">
        <v>2024</v>
      </c>
    </row>
    <row r="294" spans="1:20" ht="30">
      <c r="A294" s="17" t="s">
        <v>337</v>
      </c>
      <c r="B294" s="17">
        <v>1</v>
      </c>
      <c r="C294" s="17">
        <v>4</v>
      </c>
      <c r="D294" s="17">
        <v>1</v>
      </c>
      <c r="E294" s="17">
        <v>0</v>
      </c>
      <c r="F294" s="17">
        <v>3</v>
      </c>
      <c r="G294" s="17"/>
      <c r="H294" s="18" t="s">
        <v>24</v>
      </c>
      <c r="I294" s="91" t="s">
        <v>264</v>
      </c>
      <c r="J294" s="21">
        <f aca="true" t="shared" si="66" ref="J294:R294">J297+J296+J295</f>
        <v>64643.899999999994</v>
      </c>
      <c r="K294" s="21">
        <f t="shared" si="66"/>
        <v>56983.4</v>
      </c>
      <c r="L294" s="21">
        <f t="shared" si="66"/>
        <v>77742.8</v>
      </c>
      <c r="M294" s="21">
        <f t="shared" si="66"/>
        <v>80717.2</v>
      </c>
      <c r="N294" s="21">
        <f t="shared" si="66"/>
        <v>38972.2</v>
      </c>
      <c r="O294" s="21">
        <f t="shared" si="66"/>
        <v>58954.2</v>
      </c>
      <c r="P294" s="21">
        <f t="shared" si="66"/>
        <v>58954.2</v>
      </c>
      <c r="Q294" s="21">
        <f t="shared" si="66"/>
        <v>58954.2</v>
      </c>
      <c r="R294" s="21">
        <f t="shared" si="66"/>
        <v>58954.2</v>
      </c>
      <c r="S294" s="21">
        <f>SUM(J294:R294)</f>
        <v>554876.3</v>
      </c>
      <c r="T294" s="20">
        <v>2024</v>
      </c>
    </row>
    <row r="295" spans="1:20" ht="15">
      <c r="A295" s="17" t="s">
        <v>337</v>
      </c>
      <c r="B295" s="17">
        <v>1</v>
      </c>
      <c r="C295" s="17">
        <v>4</v>
      </c>
      <c r="D295" s="17">
        <v>1</v>
      </c>
      <c r="E295" s="17">
        <v>0</v>
      </c>
      <c r="F295" s="17">
        <v>3</v>
      </c>
      <c r="G295" s="17">
        <v>1</v>
      </c>
      <c r="H295" s="18" t="s">
        <v>222</v>
      </c>
      <c r="I295" s="91" t="s">
        <v>264</v>
      </c>
      <c r="J295" s="21">
        <f>23757.1+0.1</f>
        <v>23757.199999999997</v>
      </c>
      <c r="K295" s="21"/>
      <c r="L295" s="21">
        <v>28676.8</v>
      </c>
      <c r="M295" s="21">
        <v>35969.8</v>
      </c>
      <c r="N295" s="21">
        <f>ROUND($N$297*M295/$M$297,1)</f>
        <v>17367.1</v>
      </c>
      <c r="O295" s="21">
        <v>29755.6</v>
      </c>
      <c r="P295" s="21">
        <v>29755.6</v>
      </c>
      <c r="Q295" s="21">
        <v>29755.6</v>
      </c>
      <c r="R295" s="21">
        <v>29755.6</v>
      </c>
      <c r="S295" s="21">
        <f aca="true" t="shared" si="67" ref="S295:S303">SUM(J295:R295)</f>
        <v>224793.30000000002</v>
      </c>
      <c r="T295" s="20">
        <v>2024</v>
      </c>
    </row>
    <row r="296" spans="1:20" ht="15">
      <c r="A296" s="17" t="s">
        <v>337</v>
      </c>
      <c r="B296" s="17">
        <v>1</v>
      </c>
      <c r="C296" s="17">
        <v>4</v>
      </c>
      <c r="D296" s="17">
        <v>1</v>
      </c>
      <c r="E296" s="17">
        <v>0</v>
      </c>
      <c r="F296" s="17">
        <v>3</v>
      </c>
      <c r="G296" s="17">
        <v>2</v>
      </c>
      <c r="H296" s="18" t="s">
        <v>233</v>
      </c>
      <c r="I296" s="91" t="s">
        <v>264</v>
      </c>
      <c r="J296" s="21">
        <v>20074.7</v>
      </c>
      <c r="K296" s="21">
        <v>40086.4</v>
      </c>
      <c r="L296" s="21">
        <v>27229.8</v>
      </c>
      <c r="M296" s="21">
        <v>21964.8</v>
      </c>
      <c r="N296" s="21">
        <f>ROUND($N$297*M296/$M$297,1)</f>
        <v>10605.1</v>
      </c>
      <c r="O296" s="21">
        <v>18198.6</v>
      </c>
      <c r="P296" s="21">
        <v>18198.6</v>
      </c>
      <c r="Q296" s="21">
        <v>18198.6</v>
      </c>
      <c r="R296" s="21">
        <v>18198.6</v>
      </c>
      <c r="S296" s="21">
        <f t="shared" si="67"/>
        <v>192755.20000000004</v>
      </c>
      <c r="T296" s="20">
        <v>2024</v>
      </c>
    </row>
    <row r="297" spans="1:20" ht="15">
      <c r="A297" s="17" t="s">
        <v>337</v>
      </c>
      <c r="B297" s="17">
        <v>1</v>
      </c>
      <c r="C297" s="17">
        <v>4</v>
      </c>
      <c r="D297" s="17">
        <v>1</v>
      </c>
      <c r="E297" s="17">
        <v>0</v>
      </c>
      <c r="F297" s="17">
        <v>3</v>
      </c>
      <c r="G297" s="17">
        <v>3</v>
      </c>
      <c r="H297" s="18" t="s">
        <v>234</v>
      </c>
      <c r="I297" s="91" t="s">
        <v>264</v>
      </c>
      <c r="J297" s="21">
        <f>21156.3-344.3</f>
        <v>20812</v>
      </c>
      <c r="K297" s="21">
        <v>16897</v>
      </c>
      <c r="L297" s="21">
        <v>21836.2</v>
      </c>
      <c r="M297" s="21">
        <v>22782.6</v>
      </c>
      <c r="N297" s="21">
        <v>11000</v>
      </c>
      <c r="O297" s="21">
        <v>11000</v>
      </c>
      <c r="P297" s="21">
        <v>11000</v>
      </c>
      <c r="Q297" s="21">
        <v>11000</v>
      </c>
      <c r="R297" s="21">
        <v>11000</v>
      </c>
      <c r="S297" s="21">
        <f t="shared" si="67"/>
        <v>137327.8</v>
      </c>
      <c r="T297" s="20">
        <v>2024</v>
      </c>
    </row>
    <row r="298" spans="1:20" ht="30">
      <c r="A298" s="17" t="s">
        <v>337</v>
      </c>
      <c r="B298" s="17">
        <v>1</v>
      </c>
      <c r="C298" s="17">
        <v>4</v>
      </c>
      <c r="D298" s="17">
        <v>1</v>
      </c>
      <c r="E298" s="17">
        <v>0</v>
      </c>
      <c r="F298" s="17">
        <v>3</v>
      </c>
      <c r="G298" s="17"/>
      <c r="H298" s="18" t="s">
        <v>130</v>
      </c>
      <c r="I298" s="91" t="s">
        <v>265</v>
      </c>
      <c r="J298" s="28">
        <v>85</v>
      </c>
      <c r="K298" s="28">
        <v>68</v>
      </c>
      <c r="L298" s="28">
        <v>73</v>
      </c>
      <c r="M298" s="28">
        <v>86</v>
      </c>
      <c r="N298" s="28">
        <v>42</v>
      </c>
      <c r="O298" s="28">
        <f>ROUND(O294/905.3,0)</f>
        <v>65</v>
      </c>
      <c r="P298" s="28">
        <f>ROUND(P294/905.3,0)</f>
        <v>65</v>
      </c>
      <c r="Q298" s="28">
        <f>ROUND(Q294/905.3,0)</f>
        <v>65</v>
      </c>
      <c r="R298" s="28">
        <f>ROUND(R294/905.3,0)</f>
        <v>65</v>
      </c>
      <c r="S298" s="21">
        <f t="shared" si="67"/>
        <v>614</v>
      </c>
      <c r="T298" s="20">
        <v>2024</v>
      </c>
    </row>
    <row r="299" spans="1:20" ht="45">
      <c r="A299" s="17" t="s">
        <v>337</v>
      </c>
      <c r="B299" s="17">
        <v>1</v>
      </c>
      <c r="C299" s="17">
        <v>4</v>
      </c>
      <c r="D299" s="17">
        <v>1</v>
      </c>
      <c r="E299" s="17">
        <v>0</v>
      </c>
      <c r="F299" s="17">
        <v>4</v>
      </c>
      <c r="G299" s="17"/>
      <c r="H299" s="18" t="s">
        <v>102</v>
      </c>
      <c r="I299" s="91" t="s">
        <v>264</v>
      </c>
      <c r="J299" s="21">
        <f aca="true" t="shared" si="68" ref="J299:O299">J302+J301+J300</f>
        <v>97090.6</v>
      </c>
      <c r="K299" s="21">
        <f t="shared" si="68"/>
        <v>73507.1</v>
      </c>
      <c r="L299" s="21">
        <f t="shared" si="68"/>
        <v>0</v>
      </c>
      <c r="M299" s="21">
        <f>M302+M301+M300</f>
        <v>0</v>
      </c>
      <c r="N299" s="21">
        <f>N302+N301+N300</f>
        <v>0</v>
      </c>
      <c r="O299" s="21">
        <f t="shared" si="68"/>
        <v>0</v>
      </c>
      <c r="P299" s="21">
        <f>P302+P301+P300</f>
        <v>0</v>
      </c>
      <c r="Q299" s="21">
        <f>Q302+Q301+Q300</f>
        <v>0</v>
      </c>
      <c r="R299" s="21">
        <f>R302+R301+R300</f>
        <v>0</v>
      </c>
      <c r="S299" s="21">
        <f t="shared" si="67"/>
        <v>170597.7</v>
      </c>
      <c r="T299" s="20">
        <v>2017</v>
      </c>
    </row>
    <row r="300" spans="1:20" ht="15">
      <c r="A300" s="17" t="s">
        <v>337</v>
      </c>
      <c r="B300" s="17">
        <v>1</v>
      </c>
      <c r="C300" s="17">
        <v>4</v>
      </c>
      <c r="D300" s="17">
        <v>1</v>
      </c>
      <c r="E300" s="17">
        <v>0</v>
      </c>
      <c r="F300" s="17">
        <v>4</v>
      </c>
      <c r="G300" s="17">
        <v>1</v>
      </c>
      <c r="H300" s="18" t="s">
        <v>222</v>
      </c>
      <c r="I300" s="91" t="s">
        <v>264</v>
      </c>
      <c r="J300" s="21">
        <f>70451.7-23757.1</f>
        <v>46694.6</v>
      </c>
      <c r="K300" s="21">
        <v>33900.6</v>
      </c>
      <c r="L300" s="21">
        <v>0</v>
      </c>
      <c r="M300" s="21">
        <v>0</v>
      </c>
      <c r="N300" s="21">
        <v>0</v>
      </c>
      <c r="O300" s="21">
        <v>0</v>
      </c>
      <c r="P300" s="21">
        <v>0</v>
      </c>
      <c r="Q300" s="21">
        <v>0</v>
      </c>
      <c r="R300" s="21">
        <v>0</v>
      </c>
      <c r="S300" s="21">
        <f t="shared" si="67"/>
        <v>80595.2</v>
      </c>
      <c r="T300" s="20">
        <v>2017</v>
      </c>
    </row>
    <row r="301" spans="1:20" ht="15">
      <c r="A301" s="17" t="s">
        <v>337</v>
      </c>
      <c r="B301" s="17">
        <v>1</v>
      </c>
      <c r="C301" s="17">
        <v>4</v>
      </c>
      <c r="D301" s="17">
        <v>1</v>
      </c>
      <c r="E301" s="17">
        <v>0</v>
      </c>
      <c r="F301" s="17">
        <v>4</v>
      </c>
      <c r="G301" s="17">
        <v>2</v>
      </c>
      <c r="H301" s="18" t="s">
        <v>233</v>
      </c>
      <c r="I301" s="91" t="s">
        <v>264</v>
      </c>
      <c r="J301" s="21">
        <f>54768.9-20074.7</f>
        <v>34694.2</v>
      </c>
      <c r="K301" s="21">
        <v>23946.4</v>
      </c>
      <c r="L301" s="21">
        <v>0</v>
      </c>
      <c r="M301" s="21">
        <v>0</v>
      </c>
      <c r="N301" s="21">
        <v>0</v>
      </c>
      <c r="O301" s="21">
        <v>0</v>
      </c>
      <c r="P301" s="21">
        <v>0</v>
      </c>
      <c r="Q301" s="21">
        <v>0</v>
      </c>
      <c r="R301" s="21">
        <v>0</v>
      </c>
      <c r="S301" s="21">
        <f t="shared" si="67"/>
        <v>58640.6</v>
      </c>
      <c r="T301" s="20">
        <v>2017</v>
      </c>
    </row>
    <row r="302" spans="1:20" ht="15">
      <c r="A302" s="17" t="s">
        <v>337</v>
      </c>
      <c r="B302" s="17">
        <v>1</v>
      </c>
      <c r="C302" s="17">
        <v>4</v>
      </c>
      <c r="D302" s="17">
        <v>1</v>
      </c>
      <c r="E302" s="17">
        <v>0</v>
      </c>
      <c r="F302" s="17">
        <v>4</v>
      </c>
      <c r="G302" s="17">
        <v>3</v>
      </c>
      <c r="H302" s="18" t="s">
        <v>234</v>
      </c>
      <c r="I302" s="91" t="s">
        <v>264</v>
      </c>
      <c r="J302" s="21">
        <f>10430.6+5271.2-0.1+0.1</f>
        <v>15701.8</v>
      </c>
      <c r="K302" s="21">
        <v>15660.1</v>
      </c>
      <c r="L302" s="21">
        <v>0</v>
      </c>
      <c r="M302" s="21">
        <v>0</v>
      </c>
      <c r="N302" s="21">
        <v>0</v>
      </c>
      <c r="O302" s="21">
        <v>0</v>
      </c>
      <c r="P302" s="21">
        <v>0</v>
      </c>
      <c r="Q302" s="21">
        <v>0</v>
      </c>
      <c r="R302" s="21">
        <v>0</v>
      </c>
      <c r="S302" s="21">
        <f t="shared" si="67"/>
        <v>31361.9</v>
      </c>
      <c r="T302" s="20">
        <v>2017</v>
      </c>
    </row>
    <row r="303" spans="1:20" ht="30">
      <c r="A303" s="17" t="s">
        <v>337</v>
      </c>
      <c r="B303" s="17">
        <v>1</v>
      </c>
      <c r="C303" s="17">
        <v>4</v>
      </c>
      <c r="D303" s="17">
        <v>1</v>
      </c>
      <c r="E303" s="17">
        <v>0</v>
      </c>
      <c r="F303" s="17">
        <v>4</v>
      </c>
      <c r="G303" s="17"/>
      <c r="H303" s="18" t="s">
        <v>25</v>
      </c>
      <c r="I303" s="91" t="s">
        <v>265</v>
      </c>
      <c r="J303" s="28">
        <v>132</v>
      </c>
      <c r="K303" s="28">
        <v>64</v>
      </c>
      <c r="L303" s="28"/>
      <c r="M303" s="28"/>
      <c r="N303" s="28"/>
      <c r="O303" s="28"/>
      <c r="P303" s="28"/>
      <c r="Q303" s="28"/>
      <c r="R303" s="28"/>
      <c r="S303" s="21">
        <f t="shared" si="67"/>
        <v>196</v>
      </c>
      <c r="T303" s="20">
        <v>2017</v>
      </c>
    </row>
    <row r="304" spans="1:25" ht="42.75">
      <c r="A304" s="10" t="s">
        <v>337</v>
      </c>
      <c r="B304" s="10">
        <v>1</v>
      </c>
      <c r="C304" s="10">
        <v>5</v>
      </c>
      <c r="D304" s="10">
        <v>0</v>
      </c>
      <c r="E304" s="10">
        <v>0</v>
      </c>
      <c r="F304" s="10">
        <v>0</v>
      </c>
      <c r="G304" s="10"/>
      <c r="H304" s="11" t="s">
        <v>55</v>
      </c>
      <c r="I304" s="12" t="s">
        <v>264</v>
      </c>
      <c r="J304" s="30">
        <f aca="true" t="shared" si="69" ref="J304:S304">J305+J306+J307</f>
        <v>158533.4</v>
      </c>
      <c r="K304" s="30">
        <f t="shared" si="69"/>
        <v>31972.5</v>
      </c>
      <c r="L304" s="30">
        <f t="shared" si="69"/>
        <v>25833.600000000002</v>
      </c>
      <c r="M304" s="30">
        <f t="shared" si="69"/>
        <v>46384.899999999994</v>
      </c>
      <c r="N304" s="30">
        <f t="shared" si="69"/>
        <v>28065.1</v>
      </c>
      <c r="O304" s="30">
        <f t="shared" si="69"/>
        <v>28065.1</v>
      </c>
      <c r="P304" s="30">
        <f t="shared" si="69"/>
        <v>28065.1</v>
      </c>
      <c r="Q304" s="30">
        <f t="shared" si="69"/>
        <v>28065.1</v>
      </c>
      <c r="R304" s="30">
        <f t="shared" si="69"/>
        <v>28065.1</v>
      </c>
      <c r="S304" s="30">
        <f t="shared" si="69"/>
        <v>403049.9</v>
      </c>
      <c r="T304" s="14">
        <v>2024</v>
      </c>
      <c r="Y304" s="16"/>
    </row>
    <row r="305" spans="1:20" ht="15">
      <c r="A305" s="17" t="s">
        <v>337</v>
      </c>
      <c r="B305" s="17">
        <v>1</v>
      </c>
      <c r="C305" s="17">
        <v>5</v>
      </c>
      <c r="D305" s="17">
        <v>0</v>
      </c>
      <c r="E305" s="17">
        <v>0</v>
      </c>
      <c r="F305" s="17">
        <v>0</v>
      </c>
      <c r="G305" s="17">
        <v>1</v>
      </c>
      <c r="H305" s="18" t="s">
        <v>222</v>
      </c>
      <c r="I305" s="91" t="s">
        <v>264</v>
      </c>
      <c r="J305" s="21">
        <f aca="true" t="shared" si="70" ref="J305:O305">J325</f>
        <v>12423.8</v>
      </c>
      <c r="K305" s="21">
        <f t="shared" si="70"/>
        <v>9469</v>
      </c>
      <c r="L305" s="21">
        <f t="shared" si="70"/>
        <v>8262.1</v>
      </c>
      <c r="M305" s="21">
        <f t="shared" si="70"/>
        <v>9497.3</v>
      </c>
      <c r="N305" s="21">
        <f t="shared" si="70"/>
        <v>10438.4</v>
      </c>
      <c r="O305" s="21">
        <f t="shared" si="70"/>
        <v>10438.4</v>
      </c>
      <c r="P305" s="21">
        <f>P325</f>
        <v>10438.4</v>
      </c>
      <c r="Q305" s="21">
        <f>Q325</f>
        <v>10438.4</v>
      </c>
      <c r="R305" s="21">
        <f>R325</f>
        <v>10438.4</v>
      </c>
      <c r="S305" s="21">
        <f aca="true" t="shared" si="71" ref="S305:S310">SUM(J305:R305)</f>
        <v>91844.19999999998</v>
      </c>
      <c r="T305" s="20">
        <v>2024</v>
      </c>
    </row>
    <row r="306" spans="1:20" ht="15">
      <c r="A306" s="17" t="s">
        <v>337</v>
      </c>
      <c r="B306" s="17">
        <v>1</v>
      </c>
      <c r="C306" s="17">
        <v>5</v>
      </c>
      <c r="D306" s="17">
        <v>0</v>
      </c>
      <c r="E306" s="17">
        <v>0</v>
      </c>
      <c r="F306" s="17">
        <v>0</v>
      </c>
      <c r="G306" s="17">
        <v>2</v>
      </c>
      <c r="H306" s="18" t="s">
        <v>233</v>
      </c>
      <c r="I306" s="91" t="s">
        <v>264</v>
      </c>
      <c r="J306" s="21">
        <f aca="true" t="shared" si="72" ref="J306:O306">J309+J326</f>
        <v>54495.9</v>
      </c>
      <c r="K306" s="21">
        <f t="shared" si="72"/>
        <v>15177.7</v>
      </c>
      <c r="L306" s="21">
        <f t="shared" si="72"/>
        <v>10081.2</v>
      </c>
      <c r="M306" s="21">
        <f t="shared" si="72"/>
        <v>29307.6</v>
      </c>
      <c r="N306" s="21">
        <f t="shared" si="72"/>
        <v>10046.7</v>
      </c>
      <c r="O306" s="21">
        <f t="shared" si="72"/>
        <v>10046.7</v>
      </c>
      <c r="P306" s="21">
        <f>P309+P326</f>
        <v>10046.7</v>
      </c>
      <c r="Q306" s="21">
        <f>Q309+Q326</f>
        <v>10046.7</v>
      </c>
      <c r="R306" s="21">
        <f>R309+R326</f>
        <v>10046.7</v>
      </c>
      <c r="S306" s="21">
        <f t="shared" si="71"/>
        <v>159295.90000000002</v>
      </c>
      <c r="T306" s="20">
        <v>2024</v>
      </c>
    </row>
    <row r="307" spans="1:20" ht="15">
      <c r="A307" s="17" t="s">
        <v>337</v>
      </c>
      <c r="B307" s="17">
        <v>1</v>
      </c>
      <c r="C307" s="17">
        <v>5</v>
      </c>
      <c r="D307" s="17">
        <v>0</v>
      </c>
      <c r="E307" s="17">
        <v>0</v>
      </c>
      <c r="F307" s="17">
        <v>0</v>
      </c>
      <c r="G307" s="17">
        <v>3</v>
      </c>
      <c r="H307" s="18" t="s">
        <v>234</v>
      </c>
      <c r="I307" s="91" t="s">
        <v>264</v>
      </c>
      <c r="J307" s="21">
        <f aca="true" t="shared" si="73" ref="J307:O307">J310</f>
        <v>91613.7</v>
      </c>
      <c r="K307" s="21">
        <f t="shared" si="73"/>
        <v>7325.8</v>
      </c>
      <c r="L307" s="21">
        <f t="shared" si="73"/>
        <v>7490.3</v>
      </c>
      <c r="M307" s="21">
        <f t="shared" si="73"/>
        <v>7580</v>
      </c>
      <c r="N307" s="21">
        <f t="shared" si="73"/>
        <v>7580</v>
      </c>
      <c r="O307" s="21">
        <f t="shared" si="73"/>
        <v>7580</v>
      </c>
      <c r="P307" s="21">
        <f>P310</f>
        <v>7580</v>
      </c>
      <c r="Q307" s="21">
        <f>Q310</f>
        <v>7580</v>
      </c>
      <c r="R307" s="21">
        <f>R310</f>
        <v>7580</v>
      </c>
      <c r="S307" s="21">
        <f t="shared" si="71"/>
        <v>151909.8</v>
      </c>
      <c r="T307" s="20">
        <v>2024</v>
      </c>
    </row>
    <row r="308" spans="1:26" ht="15">
      <c r="A308" s="17" t="s">
        <v>337</v>
      </c>
      <c r="B308" s="17">
        <v>1</v>
      </c>
      <c r="C308" s="17">
        <v>5</v>
      </c>
      <c r="D308" s="17">
        <v>1</v>
      </c>
      <c r="E308" s="17">
        <v>0</v>
      </c>
      <c r="F308" s="17">
        <v>0</v>
      </c>
      <c r="G308" s="17"/>
      <c r="H308" s="18" t="s">
        <v>274</v>
      </c>
      <c r="I308" s="91" t="s">
        <v>264</v>
      </c>
      <c r="J308" s="21">
        <f aca="true" t="shared" si="74" ref="J308:O308">J309+J310</f>
        <v>140745.3</v>
      </c>
      <c r="K308" s="21">
        <f t="shared" si="74"/>
        <v>7325.8</v>
      </c>
      <c r="L308" s="21">
        <f t="shared" si="74"/>
        <v>7490.3</v>
      </c>
      <c r="M308" s="21">
        <f t="shared" si="74"/>
        <v>7580</v>
      </c>
      <c r="N308" s="21">
        <f t="shared" si="74"/>
        <v>7580</v>
      </c>
      <c r="O308" s="21">
        <f t="shared" si="74"/>
        <v>7580</v>
      </c>
      <c r="P308" s="21">
        <f>P309+P310</f>
        <v>7580</v>
      </c>
      <c r="Q308" s="21">
        <f>Q309+Q310</f>
        <v>7580</v>
      </c>
      <c r="R308" s="21">
        <f>R309+R310</f>
        <v>7580</v>
      </c>
      <c r="S308" s="21">
        <f t="shared" si="71"/>
        <v>201041.39999999997</v>
      </c>
      <c r="T308" s="20">
        <v>2024</v>
      </c>
      <c r="Z308" s="16"/>
    </row>
    <row r="309" spans="1:20" ht="15">
      <c r="A309" s="17" t="s">
        <v>337</v>
      </c>
      <c r="B309" s="17">
        <v>1</v>
      </c>
      <c r="C309" s="17">
        <v>5</v>
      </c>
      <c r="D309" s="17">
        <v>1</v>
      </c>
      <c r="E309" s="17">
        <v>0</v>
      </c>
      <c r="F309" s="17">
        <v>0</v>
      </c>
      <c r="G309" s="17">
        <v>2</v>
      </c>
      <c r="H309" s="18" t="s">
        <v>233</v>
      </c>
      <c r="I309" s="91" t="s">
        <v>264</v>
      </c>
      <c r="J309" s="21">
        <f aca="true" t="shared" si="75" ref="J309:R309">J318</f>
        <v>49131.6</v>
      </c>
      <c r="K309" s="21">
        <f t="shared" si="75"/>
        <v>0</v>
      </c>
      <c r="L309" s="21">
        <f t="shared" si="75"/>
        <v>0</v>
      </c>
      <c r="M309" s="21">
        <f t="shared" si="75"/>
        <v>0</v>
      </c>
      <c r="N309" s="21">
        <f t="shared" si="75"/>
        <v>0</v>
      </c>
      <c r="O309" s="21">
        <f t="shared" si="75"/>
        <v>0</v>
      </c>
      <c r="P309" s="21">
        <f t="shared" si="75"/>
        <v>0</v>
      </c>
      <c r="Q309" s="21">
        <f t="shared" si="75"/>
        <v>0</v>
      </c>
      <c r="R309" s="21">
        <f t="shared" si="75"/>
        <v>0</v>
      </c>
      <c r="S309" s="21">
        <f t="shared" si="71"/>
        <v>49131.6</v>
      </c>
      <c r="T309" s="20">
        <v>2016</v>
      </c>
    </row>
    <row r="310" spans="1:20" ht="15">
      <c r="A310" s="17" t="s">
        <v>337</v>
      </c>
      <c r="B310" s="17">
        <v>1</v>
      </c>
      <c r="C310" s="17">
        <v>5</v>
      </c>
      <c r="D310" s="17">
        <v>1</v>
      </c>
      <c r="E310" s="17">
        <v>0</v>
      </c>
      <c r="F310" s="17">
        <v>0</v>
      </c>
      <c r="G310" s="17">
        <v>3</v>
      </c>
      <c r="H310" s="18" t="s">
        <v>234</v>
      </c>
      <c r="I310" s="91" t="s">
        <v>264</v>
      </c>
      <c r="J310" s="21">
        <f aca="true" t="shared" si="76" ref="J310:R310">J314+J316+J320</f>
        <v>91613.7</v>
      </c>
      <c r="K310" s="21">
        <f t="shared" si="76"/>
        <v>7325.8</v>
      </c>
      <c r="L310" s="21">
        <f t="shared" si="76"/>
        <v>7490.3</v>
      </c>
      <c r="M310" s="21">
        <f t="shared" si="76"/>
        <v>7580</v>
      </c>
      <c r="N310" s="21">
        <f t="shared" si="76"/>
        <v>7580</v>
      </c>
      <c r="O310" s="21">
        <f t="shared" si="76"/>
        <v>7580</v>
      </c>
      <c r="P310" s="21">
        <f t="shared" si="76"/>
        <v>7580</v>
      </c>
      <c r="Q310" s="21">
        <f t="shared" si="76"/>
        <v>7580</v>
      </c>
      <c r="R310" s="21">
        <f t="shared" si="76"/>
        <v>7580</v>
      </c>
      <c r="S310" s="21">
        <f t="shared" si="71"/>
        <v>151909.8</v>
      </c>
      <c r="T310" s="20">
        <v>2024</v>
      </c>
    </row>
    <row r="311" spans="1:20" ht="45">
      <c r="A311" s="17" t="s">
        <v>337</v>
      </c>
      <c r="B311" s="17">
        <v>1</v>
      </c>
      <c r="C311" s="17">
        <v>5</v>
      </c>
      <c r="D311" s="17">
        <v>1</v>
      </c>
      <c r="E311" s="17">
        <v>0</v>
      </c>
      <c r="F311" s="17">
        <v>0</v>
      </c>
      <c r="G311" s="17"/>
      <c r="H311" s="18" t="s">
        <v>132</v>
      </c>
      <c r="I311" s="91" t="s">
        <v>266</v>
      </c>
      <c r="J311" s="21">
        <f>расчет_показ!E117</f>
        <v>3.216785477587573</v>
      </c>
      <c r="K311" s="21">
        <f>расчет_показ!F117</f>
        <v>0</v>
      </c>
      <c r="L311" s="21">
        <f>расчет_показ!G117</f>
        <v>0</v>
      </c>
      <c r="M311" s="21">
        <f>расчет_показ!H117</f>
        <v>0</v>
      </c>
      <c r="N311" s="21">
        <f>расчет_показ!I117</f>
        <v>0</v>
      </c>
      <c r="O311" s="21">
        <f>расчет_показ!J117</f>
        <v>0</v>
      </c>
      <c r="P311" s="21">
        <v>0</v>
      </c>
      <c r="Q311" s="21">
        <v>0</v>
      </c>
      <c r="R311" s="21">
        <v>0</v>
      </c>
      <c r="S311" s="21">
        <v>3.2</v>
      </c>
      <c r="T311" s="20">
        <v>2016</v>
      </c>
    </row>
    <row r="312" spans="1:20" ht="45">
      <c r="A312" s="17" t="s">
        <v>337</v>
      </c>
      <c r="B312" s="17">
        <v>1</v>
      </c>
      <c r="C312" s="17">
        <v>5</v>
      </c>
      <c r="D312" s="17">
        <v>1</v>
      </c>
      <c r="E312" s="17">
        <v>0</v>
      </c>
      <c r="F312" s="17">
        <v>0</v>
      </c>
      <c r="G312" s="17"/>
      <c r="H312" s="18" t="s">
        <v>26</v>
      </c>
      <c r="I312" s="91" t="s">
        <v>266</v>
      </c>
      <c r="J312" s="19">
        <f>расчет_показ!E120</f>
        <v>3.272727272727273</v>
      </c>
      <c r="K312" s="19">
        <f>расчет_показ!F120</f>
        <v>1.4545454545454546</v>
      </c>
      <c r="L312" s="19">
        <f>расчет_показ!G120</f>
        <v>1.7793594306049825</v>
      </c>
      <c r="M312" s="19">
        <f>расчет_показ!H120</f>
        <v>3.8910505836575875</v>
      </c>
      <c r="N312" s="19">
        <f>расчет_показ!I120</f>
        <v>2.181818181818182</v>
      </c>
      <c r="O312" s="19">
        <f>расчет_показ!J120</f>
        <v>2.181818181818182</v>
      </c>
      <c r="P312" s="19">
        <f>расчет_показ!K120</f>
        <v>2.5454545454545454</v>
      </c>
      <c r="Q312" s="19">
        <f>расчет_показ!L120</f>
        <v>2.5454545454545454</v>
      </c>
      <c r="R312" s="19">
        <f>расчет_показ!M120</f>
        <v>2.5454545454545454</v>
      </c>
      <c r="S312" s="19">
        <f>R312</f>
        <v>2.5454545454545454</v>
      </c>
      <c r="T312" s="20">
        <v>2024</v>
      </c>
    </row>
    <row r="313" spans="1:20" ht="45">
      <c r="A313" s="17" t="s">
        <v>337</v>
      </c>
      <c r="B313" s="17">
        <v>1</v>
      </c>
      <c r="C313" s="17">
        <v>5</v>
      </c>
      <c r="D313" s="17">
        <v>1</v>
      </c>
      <c r="E313" s="17">
        <v>0</v>
      </c>
      <c r="F313" s="17">
        <v>0</v>
      </c>
      <c r="G313" s="17"/>
      <c r="H313" s="18" t="s">
        <v>411</v>
      </c>
      <c r="I313" s="91" t="s">
        <v>266</v>
      </c>
      <c r="J313" s="19"/>
      <c r="K313" s="19">
        <f>расчет_показ!F123</f>
        <v>15.384615384615385</v>
      </c>
      <c r="L313" s="19">
        <f>расчет_показ!G123</f>
        <v>4.545454545454546</v>
      </c>
      <c r="M313" s="19">
        <f>расчет_показ!H123</f>
        <v>48</v>
      </c>
      <c r="N313" s="19">
        <f>расчет_показ!I123</f>
        <v>4.545454545454546</v>
      </c>
      <c r="O313" s="19">
        <f>расчет_показ!J123</f>
        <v>4.545454545454546</v>
      </c>
      <c r="P313" s="19">
        <f>расчет_показ!K123</f>
        <v>4.545454545454546</v>
      </c>
      <c r="Q313" s="19">
        <f>расчет_показ!L123</f>
        <v>4.545454545454546</v>
      </c>
      <c r="R313" s="19">
        <f>расчет_показ!M123</f>
        <v>4.545454545454546</v>
      </c>
      <c r="S313" s="19">
        <f>R313</f>
        <v>4.545454545454546</v>
      </c>
      <c r="T313" s="20">
        <v>2024</v>
      </c>
    </row>
    <row r="314" spans="1:20" ht="30">
      <c r="A314" s="17" t="s">
        <v>337</v>
      </c>
      <c r="B314" s="17">
        <v>1</v>
      </c>
      <c r="C314" s="17">
        <v>5</v>
      </c>
      <c r="D314" s="17">
        <v>1</v>
      </c>
      <c r="E314" s="17">
        <v>0</v>
      </c>
      <c r="F314" s="17">
        <v>1</v>
      </c>
      <c r="G314" s="17">
        <v>3</v>
      </c>
      <c r="H314" s="18" t="s">
        <v>133</v>
      </c>
      <c r="I314" s="91" t="s">
        <v>264</v>
      </c>
      <c r="J314" s="21">
        <f>10525.1-404.8</f>
        <v>10120.300000000001</v>
      </c>
      <c r="K314" s="21">
        <v>4390.1</v>
      </c>
      <c r="L314" s="21">
        <v>7490.3</v>
      </c>
      <c r="M314" s="21">
        <v>7580</v>
      </c>
      <c r="N314" s="21">
        <v>7580</v>
      </c>
      <c r="O314" s="21">
        <v>7580</v>
      </c>
      <c r="P314" s="21">
        <v>7580</v>
      </c>
      <c r="Q314" s="21">
        <v>7580</v>
      </c>
      <c r="R314" s="21">
        <v>7580</v>
      </c>
      <c r="S314" s="21">
        <f>SUM(J314:R314)</f>
        <v>67480.7</v>
      </c>
      <c r="T314" s="20">
        <v>2024</v>
      </c>
    </row>
    <row r="315" spans="1:20" ht="30">
      <c r="A315" s="17" t="s">
        <v>337</v>
      </c>
      <c r="B315" s="17">
        <v>1</v>
      </c>
      <c r="C315" s="17">
        <v>5</v>
      </c>
      <c r="D315" s="17">
        <v>1</v>
      </c>
      <c r="E315" s="17">
        <v>0</v>
      </c>
      <c r="F315" s="17">
        <v>1</v>
      </c>
      <c r="G315" s="17"/>
      <c r="H315" s="18" t="s">
        <v>63</v>
      </c>
      <c r="I315" s="91" t="s">
        <v>265</v>
      </c>
      <c r="J315" s="28">
        <v>8</v>
      </c>
      <c r="K315" s="28">
        <v>4</v>
      </c>
      <c r="L315" s="28">
        <v>5</v>
      </c>
      <c r="M315" s="28">
        <v>6</v>
      </c>
      <c r="N315" s="28">
        <v>6</v>
      </c>
      <c r="O315" s="28">
        <v>6</v>
      </c>
      <c r="P315" s="28">
        <v>7</v>
      </c>
      <c r="Q315" s="28">
        <v>7</v>
      </c>
      <c r="R315" s="28">
        <v>7</v>
      </c>
      <c r="S315" s="21">
        <f aca="true" t="shared" si="77" ref="S315:S326">SUM(J315:R315)</f>
        <v>56</v>
      </c>
      <c r="T315" s="20">
        <v>2024</v>
      </c>
    </row>
    <row r="316" spans="1:20" ht="75">
      <c r="A316" s="17" t="s">
        <v>337</v>
      </c>
      <c r="B316" s="17">
        <v>1</v>
      </c>
      <c r="C316" s="17">
        <v>5</v>
      </c>
      <c r="D316" s="17">
        <v>1</v>
      </c>
      <c r="E316" s="17">
        <v>0</v>
      </c>
      <c r="F316" s="17">
        <v>2</v>
      </c>
      <c r="G316" s="17">
        <v>3</v>
      </c>
      <c r="H316" s="18" t="s">
        <v>30</v>
      </c>
      <c r="I316" s="91" t="s">
        <v>264</v>
      </c>
      <c r="J316" s="21">
        <f>2981.4+0.1-0.1</f>
        <v>2981.4</v>
      </c>
      <c r="K316" s="21">
        <v>2935.7</v>
      </c>
      <c r="L316" s="21">
        <v>0</v>
      </c>
      <c r="M316" s="21">
        <v>0</v>
      </c>
      <c r="N316" s="21">
        <v>0</v>
      </c>
      <c r="O316" s="21">
        <v>0</v>
      </c>
      <c r="P316" s="21">
        <v>0</v>
      </c>
      <c r="Q316" s="21">
        <v>0</v>
      </c>
      <c r="R316" s="21">
        <v>0</v>
      </c>
      <c r="S316" s="21">
        <f t="shared" si="77"/>
        <v>5917.1</v>
      </c>
      <c r="T316" s="20">
        <v>2017</v>
      </c>
    </row>
    <row r="317" spans="1:20" ht="30">
      <c r="A317" s="17" t="s">
        <v>337</v>
      </c>
      <c r="B317" s="17">
        <v>1</v>
      </c>
      <c r="C317" s="17">
        <v>5</v>
      </c>
      <c r="D317" s="17">
        <v>1</v>
      </c>
      <c r="E317" s="17">
        <v>0</v>
      </c>
      <c r="F317" s="17">
        <v>2</v>
      </c>
      <c r="G317" s="17"/>
      <c r="H317" s="18" t="s">
        <v>134</v>
      </c>
      <c r="I317" s="91" t="s">
        <v>265</v>
      </c>
      <c r="J317" s="28">
        <v>2</v>
      </c>
      <c r="K317" s="28">
        <v>2</v>
      </c>
      <c r="L317" s="28"/>
      <c r="M317" s="28"/>
      <c r="N317" s="28"/>
      <c r="O317" s="28"/>
      <c r="P317" s="28"/>
      <c r="Q317" s="28"/>
      <c r="R317" s="28"/>
      <c r="S317" s="21">
        <f t="shared" si="77"/>
        <v>4</v>
      </c>
      <c r="T317" s="20">
        <v>2017</v>
      </c>
    </row>
    <row r="318" spans="1:20" ht="30">
      <c r="A318" s="17" t="s">
        <v>337</v>
      </c>
      <c r="B318" s="17">
        <v>1</v>
      </c>
      <c r="C318" s="17">
        <v>5</v>
      </c>
      <c r="D318" s="17">
        <v>1</v>
      </c>
      <c r="E318" s="17">
        <v>0</v>
      </c>
      <c r="F318" s="17">
        <v>3</v>
      </c>
      <c r="G318" s="17">
        <v>2</v>
      </c>
      <c r="H318" s="18" t="s">
        <v>44</v>
      </c>
      <c r="I318" s="91" t="s">
        <v>264</v>
      </c>
      <c r="J318" s="21">
        <v>49131.6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  <c r="Q318" s="21">
        <v>0</v>
      </c>
      <c r="R318" s="21">
        <v>0</v>
      </c>
      <c r="S318" s="21">
        <f t="shared" si="77"/>
        <v>49131.6</v>
      </c>
      <c r="T318" s="20">
        <v>2016</v>
      </c>
    </row>
    <row r="319" spans="1:20" ht="30">
      <c r="A319" s="17" t="s">
        <v>337</v>
      </c>
      <c r="B319" s="17">
        <v>1</v>
      </c>
      <c r="C319" s="17">
        <v>5</v>
      </c>
      <c r="D319" s="17">
        <v>1</v>
      </c>
      <c r="E319" s="17">
        <v>0</v>
      </c>
      <c r="F319" s="17">
        <v>3</v>
      </c>
      <c r="G319" s="17"/>
      <c r="H319" s="18" t="s">
        <v>276</v>
      </c>
      <c r="I319" s="91" t="s">
        <v>332</v>
      </c>
      <c r="J319" s="21">
        <v>5970</v>
      </c>
      <c r="K319" s="19"/>
      <c r="L319" s="19"/>
      <c r="M319" s="19"/>
      <c r="N319" s="19"/>
      <c r="O319" s="19"/>
      <c r="P319" s="19"/>
      <c r="Q319" s="19"/>
      <c r="R319" s="19"/>
      <c r="S319" s="21">
        <f t="shared" si="77"/>
        <v>5970</v>
      </c>
      <c r="T319" s="20">
        <v>2016</v>
      </c>
    </row>
    <row r="320" spans="1:20" ht="45">
      <c r="A320" s="17" t="s">
        <v>337</v>
      </c>
      <c r="B320" s="17">
        <v>1</v>
      </c>
      <c r="C320" s="17">
        <v>5</v>
      </c>
      <c r="D320" s="17">
        <v>1</v>
      </c>
      <c r="E320" s="17">
        <v>0</v>
      </c>
      <c r="F320" s="17">
        <v>4</v>
      </c>
      <c r="G320" s="17">
        <v>3</v>
      </c>
      <c r="H320" s="18" t="s">
        <v>135</v>
      </c>
      <c r="I320" s="91" t="s">
        <v>264</v>
      </c>
      <c r="J320" s="21">
        <f>7255.3+70844+412.7</f>
        <v>78512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  <c r="P320" s="21">
        <v>0</v>
      </c>
      <c r="Q320" s="21">
        <v>0</v>
      </c>
      <c r="R320" s="21">
        <v>0</v>
      </c>
      <c r="S320" s="21">
        <f t="shared" si="77"/>
        <v>78512</v>
      </c>
      <c r="T320" s="20">
        <v>2016</v>
      </c>
    </row>
    <row r="321" spans="1:20" ht="30">
      <c r="A321" s="17" t="s">
        <v>337</v>
      </c>
      <c r="B321" s="17">
        <v>1</v>
      </c>
      <c r="C321" s="17">
        <v>5</v>
      </c>
      <c r="D321" s="17">
        <v>1</v>
      </c>
      <c r="E321" s="17">
        <v>0</v>
      </c>
      <c r="F321" s="17">
        <v>4</v>
      </c>
      <c r="G321" s="17"/>
      <c r="H321" s="18" t="s">
        <v>235</v>
      </c>
      <c r="I321" s="91" t="s">
        <v>263</v>
      </c>
      <c r="J321" s="19">
        <v>7063.2</v>
      </c>
      <c r="K321" s="19"/>
      <c r="L321" s="19"/>
      <c r="M321" s="19"/>
      <c r="N321" s="19"/>
      <c r="O321" s="19"/>
      <c r="P321" s="19"/>
      <c r="Q321" s="19"/>
      <c r="R321" s="19"/>
      <c r="S321" s="21">
        <f>SUM(J321:R321)</f>
        <v>7063.2</v>
      </c>
      <c r="T321" s="20">
        <v>2016</v>
      </c>
    </row>
    <row r="322" spans="1:20" ht="30">
      <c r="A322" s="17" t="s">
        <v>337</v>
      </c>
      <c r="B322" s="17">
        <v>1</v>
      </c>
      <c r="C322" s="17">
        <v>5</v>
      </c>
      <c r="D322" s="17">
        <v>1</v>
      </c>
      <c r="E322" s="17">
        <v>0</v>
      </c>
      <c r="F322" s="17">
        <v>4</v>
      </c>
      <c r="G322" s="17"/>
      <c r="H322" s="18" t="s">
        <v>45</v>
      </c>
      <c r="I322" s="91" t="s">
        <v>93</v>
      </c>
      <c r="J322" s="21">
        <v>9.3</v>
      </c>
      <c r="K322" s="19"/>
      <c r="L322" s="19"/>
      <c r="M322" s="19"/>
      <c r="N322" s="19"/>
      <c r="O322" s="19"/>
      <c r="P322" s="19"/>
      <c r="Q322" s="19"/>
      <c r="R322" s="19"/>
      <c r="S322" s="21">
        <f t="shared" si="77"/>
        <v>9.3</v>
      </c>
      <c r="T322" s="20">
        <v>2016</v>
      </c>
    </row>
    <row r="323" spans="1:20" ht="30">
      <c r="A323" s="17" t="s">
        <v>337</v>
      </c>
      <c r="B323" s="17">
        <v>1</v>
      </c>
      <c r="C323" s="17">
        <v>5</v>
      </c>
      <c r="D323" s="17">
        <v>1</v>
      </c>
      <c r="E323" s="17">
        <v>0</v>
      </c>
      <c r="F323" s="17">
        <v>4</v>
      </c>
      <c r="G323" s="17"/>
      <c r="H323" s="18" t="s">
        <v>47</v>
      </c>
      <c r="I323" s="91" t="s">
        <v>263</v>
      </c>
      <c r="J323" s="21">
        <v>7360</v>
      </c>
      <c r="K323" s="19"/>
      <c r="L323" s="19"/>
      <c r="M323" s="19"/>
      <c r="N323" s="19"/>
      <c r="O323" s="19"/>
      <c r="P323" s="19"/>
      <c r="Q323" s="19"/>
      <c r="R323" s="19"/>
      <c r="S323" s="21">
        <f t="shared" si="77"/>
        <v>7360</v>
      </c>
      <c r="T323" s="20">
        <v>2016</v>
      </c>
    </row>
    <row r="324" spans="1:26" ht="45">
      <c r="A324" s="17" t="s">
        <v>337</v>
      </c>
      <c r="B324" s="17">
        <v>1</v>
      </c>
      <c r="C324" s="17">
        <v>5</v>
      </c>
      <c r="D324" s="17">
        <v>2</v>
      </c>
      <c r="E324" s="17">
        <v>0</v>
      </c>
      <c r="F324" s="17">
        <v>0</v>
      </c>
      <c r="G324" s="17"/>
      <c r="H324" s="18" t="s">
        <v>275</v>
      </c>
      <c r="I324" s="91" t="s">
        <v>264</v>
      </c>
      <c r="J324" s="21">
        <f>J325+J326</f>
        <v>17788.1</v>
      </c>
      <c r="K324" s="21">
        <f>K325+K326</f>
        <v>24646.7</v>
      </c>
      <c r="L324" s="21">
        <f>L325+L326</f>
        <v>18343.300000000003</v>
      </c>
      <c r="M324" s="21">
        <f aca="true" t="shared" si="78" ref="M324:R324">M325+M326</f>
        <v>38804.899999999994</v>
      </c>
      <c r="N324" s="21">
        <f t="shared" si="78"/>
        <v>20485.1</v>
      </c>
      <c r="O324" s="21">
        <f t="shared" si="78"/>
        <v>20485.1</v>
      </c>
      <c r="P324" s="21">
        <f t="shared" si="78"/>
        <v>20485.1</v>
      </c>
      <c r="Q324" s="21">
        <f t="shared" si="78"/>
        <v>20485.1</v>
      </c>
      <c r="R324" s="21">
        <f t="shared" si="78"/>
        <v>20485.1</v>
      </c>
      <c r="S324" s="21">
        <f>SUM(J324:R324)</f>
        <v>202008.50000000003</v>
      </c>
      <c r="T324" s="20">
        <v>2024</v>
      </c>
      <c r="Z324" s="16"/>
    </row>
    <row r="325" spans="1:20" ht="15">
      <c r="A325" s="17" t="s">
        <v>337</v>
      </c>
      <c r="B325" s="17">
        <v>1</v>
      </c>
      <c r="C325" s="17">
        <v>5</v>
      </c>
      <c r="D325" s="17">
        <v>2</v>
      </c>
      <c r="E325" s="17">
        <v>0</v>
      </c>
      <c r="F325" s="17">
        <v>0</v>
      </c>
      <c r="G325" s="17">
        <v>1</v>
      </c>
      <c r="H325" s="18" t="s">
        <v>222</v>
      </c>
      <c r="I325" s="91" t="s">
        <v>264</v>
      </c>
      <c r="J325" s="21">
        <f aca="true" t="shared" si="79" ref="J325:L326">J332</f>
        <v>12423.8</v>
      </c>
      <c r="K325" s="21">
        <f t="shared" si="79"/>
        <v>9469</v>
      </c>
      <c r="L325" s="21">
        <f t="shared" si="79"/>
        <v>8262.1</v>
      </c>
      <c r="M325" s="21">
        <f aca="true" t="shared" si="80" ref="M325:O326">M332</f>
        <v>9497.3</v>
      </c>
      <c r="N325" s="21">
        <f t="shared" si="80"/>
        <v>10438.4</v>
      </c>
      <c r="O325" s="21">
        <f t="shared" si="80"/>
        <v>10438.4</v>
      </c>
      <c r="P325" s="21">
        <f aca="true" t="shared" si="81" ref="P325:R326">P332</f>
        <v>10438.4</v>
      </c>
      <c r="Q325" s="21">
        <f t="shared" si="81"/>
        <v>10438.4</v>
      </c>
      <c r="R325" s="21">
        <f t="shared" si="81"/>
        <v>10438.4</v>
      </c>
      <c r="S325" s="21">
        <f t="shared" si="77"/>
        <v>91844.19999999998</v>
      </c>
      <c r="T325" s="20">
        <v>2024</v>
      </c>
    </row>
    <row r="326" spans="1:20" ht="15">
      <c r="A326" s="17" t="s">
        <v>337</v>
      </c>
      <c r="B326" s="17">
        <v>1</v>
      </c>
      <c r="C326" s="17">
        <v>5</v>
      </c>
      <c r="D326" s="17">
        <v>2</v>
      </c>
      <c r="E326" s="17">
        <v>0</v>
      </c>
      <c r="F326" s="17">
        <v>0</v>
      </c>
      <c r="G326" s="17">
        <v>2</v>
      </c>
      <c r="H326" s="18" t="s">
        <v>233</v>
      </c>
      <c r="I326" s="91" t="s">
        <v>264</v>
      </c>
      <c r="J326" s="21">
        <f t="shared" si="79"/>
        <v>5364.3</v>
      </c>
      <c r="K326" s="21">
        <f t="shared" si="79"/>
        <v>15177.7</v>
      </c>
      <c r="L326" s="21">
        <f t="shared" si="79"/>
        <v>10081.2</v>
      </c>
      <c r="M326" s="21">
        <f t="shared" si="80"/>
        <v>29307.6</v>
      </c>
      <c r="N326" s="21">
        <f t="shared" si="80"/>
        <v>10046.7</v>
      </c>
      <c r="O326" s="21">
        <f t="shared" si="80"/>
        <v>10046.7</v>
      </c>
      <c r="P326" s="21">
        <f t="shared" si="81"/>
        <v>10046.7</v>
      </c>
      <c r="Q326" s="21">
        <f t="shared" si="81"/>
        <v>10046.7</v>
      </c>
      <c r="R326" s="21">
        <f t="shared" si="81"/>
        <v>10046.7</v>
      </c>
      <c r="S326" s="21">
        <f t="shared" si="77"/>
        <v>110164.29999999999</v>
      </c>
      <c r="T326" s="20">
        <v>2024</v>
      </c>
    </row>
    <row r="327" spans="1:20" ht="60">
      <c r="A327" s="17" t="s">
        <v>337</v>
      </c>
      <c r="B327" s="17">
        <v>1</v>
      </c>
      <c r="C327" s="17">
        <v>5</v>
      </c>
      <c r="D327" s="17">
        <v>2</v>
      </c>
      <c r="E327" s="17">
        <v>0</v>
      </c>
      <c r="F327" s="17">
        <v>0</v>
      </c>
      <c r="G327" s="17"/>
      <c r="H327" s="18" t="s">
        <v>306</v>
      </c>
      <c r="I327" s="17" t="s">
        <v>266</v>
      </c>
      <c r="J327" s="41">
        <f>расчет_показ!E126</f>
        <v>0.08047901107391192</v>
      </c>
      <c r="K327" s="41">
        <f>расчет_показ!F126</f>
        <v>0.016097875080489377</v>
      </c>
      <c r="L327" s="41">
        <f>расчет_показ!G126</f>
        <v>0.016103578215079392</v>
      </c>
      <c r="M327" s="41">
        <f>расчет_показ!H126</f>
        <v>0.016103578215079392</v>
      </c>
      <c r="N327" s="41">
        <f>расчет_показ!I126</f>
        <v>0.016103578215079392</v>
      </c>
      <c r="O327" s="41">
        <f>расчет_показ!J126</f>
        <v>0.016103578215079392</v>
      </c>
      <c r="P327" s="41">
        <f>расчет_показ!K126</f>
        <v>0.016103578215079392</v>
      </c>
      <c r="Q327" s="41">
        <f>расчет_показ!L126</f>
        <v>0.016103578215079392</v>
      </c>
      <c r="R327" s="41">
        <f>расчет_показ!M126</f>
        <v>0.016103578215079392</v>
      </c>
      <c r="S327" s="41">
        <f>O327</f>
        <v>0.016103578215079392</v>
      </c>
      <c r="T327" s="20">
        <v>2024</v>
      </c>
    </row>
    <row r="328" spans="1:20" ht="44.25" customHeight="1">
      <c r="A328" s="17" t="s">
        <v>337</v>
      </c>
      <c r="B328" s="17">
        <v>1</v>
      </c>
      <c r="C328" s="17">
        <v>5</v>
      </c>
      <c r="D328" s="17">
        <v>2</v>
      </c>
      <c r="E328" s="17">
        <v>0</v>
      </c>
      <c r="F328" s="17">
        <v>0</v>
      </c>
      <c r="G328" s="17"/>
      <c r="H328" s="18" t="s">
        <v>27</v>
      </c>
      <c r="I328" s="17" t="s">
        <v>266</v>
      </c>
      <c r="J328" s="21">
        <f>расчет_показ!E129</f>
        <v>7.352941176470589</v>
      </c>
      <c r="K328" s="21">
        <f>расчет_показ!F129</f>
        <v>6.25</v>
      </c>
      <c r="L328" s="21">
        <f>расчет_показ!G129</f>
        <v>5.844155844155844</v>
      </c>
      <c r="M328" s="21">
        <f>расчет_показ!H129</f>
        <v>14.482758620689657</v>
      </c>
      <c r="N328" s="21">
        <f>расчет_показ!I129</f>
        <v>7.2992700729927</v>
      </c>
      <c r="O328" s="21">
        <f>расчет_показ!J129</f>
        <v>7.751937984496124</v>
      </c>
      <c r="P328" s="21">
        <f>расчет_показ!K129</f>
        <v>7.751937984496124</v>
      </c>
      <c r="Q328" s="21">
        <f>расчет_показ!L129</f>
        <v>7.751937984496124</v>
      </c>
      <c r="R328" s="21">
        <f>расчет_показ!M129</f>
        <v>7.751937984496124</v>
      </c>
      <c r="S328" s="21">
        <f>O328</f>
        <v>7.751937984496124</v>
      </c>
      <c r="T328" s="20">
        <v>2024</v>
      </c>
    </row>
    <row r="329" spans="1:20" ht="45">
      <c r="A329" s="17" t="s">
        <v>337</v>
      </c>
      <c r="B329" s="17">
        <v>1</v>
      </c>
      <c r="C329" s="17">
        <v>5</v>
      </c>
      <c r="D329" s="17">
        <v>2</v>
      </c>
      <c r="E329" s="17">
        <v>0</v>
      </c>
      <c r="F329" s="17">
        <v>1</v>
      </c>
      <c r="G329" s="17"/>
      <c r="H329" s="18" t="s">
        <v>219</v>
      </c>
      <c r="I329" s="91" t="s">
        <v>253</v>
      </c>
      <c r="J329" s="19" t="s">
        <v>267</v>
      </c>
      <c r="K329" s="19" t="s">
        <v>267</v>
      </c>
      <c r="L329" s="19" t="s">
        <v>90</v>
      </c>
      <c r="M329" s="19" t="s">
        <v>90</v>
      </c>
      <c r="N329" s="19" t="s">
        <v>267</v>
      </c>
      <c r="O329" s="19" t="s">
        <v>267</v>
      </c>
      <c r="P329" s="19" t="s">
        <v>267</v>
      </c>
      <c r="Q329" s="19" t="s">
        <v>267</v>
      </c>
      <c r="R329" s="19" t="s">
        <v>267</v>
      </c>
      <c r="S329" s="19" t="s">
        <v>267</v>
      </c>
      <c r="T329" s="20">
        <v>2024</v>
      </c>
    </row>
    <row r="330" spans="1:20" ht="30">
      <c r="A330" s="17" t="s">
        <v>337</v>
      </c>
      <c r="B330" s="17">
        <v>1</v>
      </c>
      <c r="C330" s="17">
        <v>5</v>
      </c>
      <c r="D330" s="17">
        <v>2</v>
      </c>
      <c r="E330" s="17">
        <v>0</v>
      </c>
      <c r="F330" s="17">
        <v>1</v>
      </c>
      <c r="G330" s="17"/>
      <c r="H330" s="18" t="s">
        <v>31</v>
      </c>
      <c r="I330" s="91" t="s">
        <v>265</v>
      </c>
      <c r="J330" s="28">
        <v>5</v>
      </c>
      <c r="K330" s="28">
        <v>1</v>
      </c>
      <c r="L330" s="28">
        <v>0</v>
      </c>
      <c r="M330" s="28">
        <v>0</v>
      </c>
      <c r="N330" s="28">
        <v>1</v>
      </c>
      <c r="O330" s="28">
        <v>1</v>
      </c>
      <c r="P330" s="28">
        <v>1</v>
      </c>
      <c r="Q330" s="28">
        <v>1</v>
      </c>
      <c r="R330" s="28">
        <v>1</v>
      </c>
      <c r="S330" s="21">
        <f aca="true" t="shared" si="82" ref="S330:S336">SUM(J330:R330)</f>
        <v>11</v>
      </c>
      <c r="T330" s="20">
        <v>2024</v>
      </c>
    </row>
    <row r="331" spans="1:20" ht="30">
      <c r="A331" s="17" t="s">
        <v>337</v>
      </c>
      <c r="B331" s="17">
        <v>1</v>
      </c>
      <c r="C331" s="17">
        <v>5</v>
      </c>
      <c r="D331" s="17">
        <v>2</v>
      </c>
      <c r="E331" s="17">
        <v>0</v>
      </c>
      <c r="F331" s="17">
        <v>2</v>
      </c>
      <c r="G331" s="17"/>
      <c r="H331" s="18" t="s">
        <v>171</v>
      </c>
      <c r="I331" s="91" t="s">
        <v>264</v>
      </c>
      <c r="J331" s="21">
        <f aca="true" t="shared" si="83" ref="J331:R331">J333+J332</f>
        <v>17788.1</v>
      </c>
      <c r="K331" s="21">
        <f t="shared" si="83"/>
        <v>24646.7</v>
      </c>
      <c r="L331" s="21">
        <f t="shared" si="83"/>
        <v>18343.300000000003</v>
      </c>
      <c r="M331" s="21">
        <f t="shared" si="83"/>
        <v>38804.899999999994</v>
      </c>
      <c r="N331" s="21">
        <f t="shared" si="83"/>
        <v>20485.1</v>
      </c>
      <c r="O331" s="21">
        <f t="shared" si="83"/>
        <v>20485.1</v>
      </c>
      <c r="P331" s="21">
        <f t="shared" si="83"/>
        <v>20485.1</v>
      </c>
      <c r="Q331" s="21">
        <f t="shared" si="83"/>
        <v>20485.1</v>
      </c>
      <c r="R331" s="21">
        <f t="shared" si="83"/>
        <v>20485.1</v>
      </c>
      <c r="S331" s="21">
        <f t="shared" si="82"/>
        <v>202008.50000000003</v>
      </c>
      <c r="T331" s="20">
        <v>2024</v>
      </c>
    </row>
    <row r="332" spans="1:20" ht="15">
      <c r="A332" s="17" t="s">
        <v>337</v>
      </c>
      <c r="B332" s="17">
        <v>1</v>
      </c>
      <c r="C332" s="17">
        <v>5</v>
      </c>
      <c r="D332" s="17">
        <v>2</v>
      </c>
      <c r="E332" s="17">
        <v>0</v>
      </c>
      <c r="F332" s="17">
        <v>2</v>
      </c>
      <c r="G332" s="17">
        <v>1</v>
      </c>
      <c r="H332" s="18" t="s">
        <v>222</v>
      </c>
      <c r="I332" s="91" t="s">
        <v>264</v>
      </c>
      <c r="J332" s="21">
        <v>12423.8</v>
      </c>
      <c r="K332" s="21">
        <v>9469</v>
      </c>
      <c r="L332" s="21">
        <v>8262.1</v>
      </c>
      <c r="M332" s="21">
        <v>9497.3</v>
      </c>
      <c r="N332" s="21">
        <v>10438.4</v>
      </c>
      <c r="O332" s="21">
        <v>10438.4</v>
      </c>
      <c r="P332" s="21">
        <v>10438.4</v>
      </c>
      <c r="Q332" s="21">
        <v>10438.4</v>
      </c>
      <c r="R332" s="21">
        <v>10438.4</v>
      </c>
      <c r="S332" s="21">
        <f t="shared" si="82"/>
        <v>91844.19999999998</v>
      </c>
      <c r="T332" s="20">
        <v>2024</v>
      </c>
    </row>
    <row r="333" spans="1:20" ht="15">
      <c r="A333" s="17" t="s">
        <v>337</v>
      </c>
      <c r="B333" s="17">
        <v>1</v>
      </c>
      <c r="C333" s="17">
        <v>5</v>
      </c>
      <c r="D333" s="17">
        <v>2</v>
      </c>
      <c r="E333" s="17">
        <v>0</v>
      </c>
      <c r="F333" s="17">
        <v>2</v>
      </c>
      <c r="G333" s="17">
        <v>2</v>
      </c>
      <c r="H333" s="18" t="s">
        <v>233</v>
      </c>
      <c r="I333" s="91" t="s">
        <v>264</v>
      </c>
      <c r="J333" s="23">
        <f>39+5325.3</f>
        <v>5364.3</v>
      </c>
      <c r="K333" s="23">
        <f>7611.5+7566.2</f>
        <v>15177.7</v>
      </c>
      <c r="L333" s="21">
        <v>10081.2</v>
      </c>
      <c r="M333" s="21">
        <f>29307.5+0.1</f>
        <v>29307.6</v>
      </c>
      <c r="N333" s="21">
        <v>10046.7</v>
      </c>
      <c r="O333" s="21">
        <v>10046.7</v>
      </c>
      <c r="P333" s="21">
        <v>10046.7</v>
      </c>
      <c r="Q333" s="21">
        <v>10046.7</v>
      </c>
      <c r="R333" s="21">
        <v>10046.7</v>
      </c>
      <c r="S333" s="21">
        <f t="shared" si="82"/>
        <v>110164.29999999999</v>
      </c>
      <c r="T333" s="20">
        <v>2024</v>
      </c>
    </row>
    <row r="334" spans="1:20" ht="27.75" customHeight="1">
      <c r="A334" s="17" t="s">
        <v>337</v>
      </c>
      <c r="B334" s="17">
        <v>1</v>
      </c>
      <c r="C334" s="17">
        <v>5</v>
      </c>
      <c r="D334" s="17">
        <v>2</v>
      </c>
      <c r="E334" s="17">
        <v>0</v>
      </c>
      <c r="F334" s="17">
        <v>2</v>
      </c>
      <c r="G334" s="17"/>
      <c r="H334" s="18" t="s">
        <v>28</v>
      </c>
      <c r="I334" s="91" t="s">
        <v>265</v>
      </c>
      <c r="J334" s="28">
        <v>10</v>
      </c>
      <c r="K334" s="29">
        <v>13</v>
      </c>
      <c r="L334" s="29">
        <v>9</v>
      </c>
      <c r="M334" s="29">
        <f>ROUND(M331/1904,0)</f>
        <v>20</v>
      </c>
      <c r="N334" s="29">
        <v>10</v>
      </c>
      <c r="O334" s="29">
        <v>10</v>
      </c>
      <c r="P334" s="29">
        <v>10</v>
      </c>
      <c r="Q334" s="29">
        <v>10</v>
      </c>
      <c r="R334" s="29">
        <v>10</v>
      </c>
      <c r="S334" s="21">
        <f t="shared" si="82"/>
        <v>102</v>
      </c>
      <c r="T334" s="20">
        <v>2024</v>
      </c>
    </row>
    <row r="335" spans="1:20" ht="45">
      <c r="A335" s="17" t="s">
        <v>337</v>
      </c>
      <c r="B335" s="17">
        <v>1</v>
      </c>
      <c r="C335" s="17">
        <v>5</v>
      </c>
      <c r="D335" s="17">
        <v>2</v>
      </c>
      <c r="E335" s="17">
        <v>0</v>
      </c>
      <c r="F335" s="17">
        <v>3</v>
      </c>
      <c r="G335" s="17"/>
      <c r="H335" s="18" t="s">
        <v>68</v>
      </c>
      <c r="I335" s="91" t="s">
        <v>253</v>
      </c>
      <c r="J335" s="21" t="s">
        <v>267</v>
      </c>
      <c r="K335" s="21" t="s">
        <v>267</v>
      </c>
      <c r="L335" s="23" t="s">
        <v>267</v>
      </c>
      <c r="M335" s="21" t="s">
        <v>267</v>
      </c>
      <c r="N335" s="21" t="s">
        <v>267</v>
      </c>
      <c r="O335" s="21" t="s">
        <v>267</v>
      </c>
      <c r="P335" s="21" t="s">
        <v>267</v>
      </c>
      <c r="Q335" s="21" t="s">
        <v>267</v>
      </c>
      <c r="R335" s="23" t="s">
        <v>267</v>
      </c>
      <c r="S335" s="23" t="s">
        <v>267</v>
      </c>
      <c r="T335" s="20">
        <v>2024</v>
      </c>
    </row>
    <row r="336" spans="1:20" ht="15">
      <c r="A336" s="17" t="s">
        <v>337</v>
      </c>
      <c r="B336" s="17">
        <v>1</v>
      </c>
      <c r="C336" s="17">
        <v>5</v>
      </c>
      <c r="D336" s="17">
        <v>2</v>
      </c>
      <c r="E336" s="17">
        <v>0</v>
      </c>
      <c r="F336" s="17">
        <v>3</v>
      </c>
      <c r="G336" s="17"/>
      <c r="H336" s="18" t="s">
        <v>425</v>
      </c>
      <c r="I336" s="91" t="s">
        <v>265</v>
      </c>
      <c r="J336" s="28">
        <v>10</v>
      </c>
      <c r="K336" s="29">
        <v>13</v>
      </c>
      <c r="L336" s="29">
        <v>6</v>
      </c>
      <c r="M336" s="29">
        <f>3+19</f>
        <v>22</v>
      </c>
      <c r="N336" s="29">
        <v>10</v>
      </c>
      <c r="O336" s="29">
        <v>10</v>
      </c>
      <c r="P336" s="29">
        <v>10</v>
      </c>
      <c r="Q336" s="29">
        <v>10</v>
      </c>
      <c r="R336" s="29">
        <v>10</v>
      </c>
      <c r="S336" s="21">
        <f t="shared" si="82"/>
        <v>101</v>
      </c>
      <c r="T336" s="20">
        <v>2024</v>
      </c>
    </row>
    <row r="337" spans="1:25" ht="15">
      <c r="A337" s="71" t="s">
        <v>337</v>
      </c>
      <c r="B337" s="71">
        <v>1</v>
      </c>
      <c r="C337" s="71">
        <v>9</v>
      </c>
      <c r="D337" s="71">
        <v>0</v>
      </c>
      <c r="E337" s="71">
        <v>0</v>
      </c>
      <c r="F337" s="71">
        <v>0</v>
      </c>
      <c r="G337" s="9"/>
      <c r="H337" s="11" t="s">
        <v>38</v>
      </c>
      <c r="I337" s="12" t="s">
        <v>264</v>
      </c>
      <c r="J337" s="72">
        <f>SUM(J338:J339)</f>
        <v>364542.5</v>
      </c>
      <c r="K337" s="72">
        <f aca="true" t="shared" si="84" ref="K337:R337">SUM(K338:K339)</f>
        <v>0</v>
      </c>
      <c r="L337" s="72">
        <f t="shared" si="84"/>
        <v>0</v>
      </c>
      <c r="M337" s="72">
        <f t="shared" si="84"/>
        <v>0</v>
      </c>
      <c r="N337" s="72">
        <f t="shared" si="84"/>
        <v>0</v>
      </c>
      <c r="O337" s="72">
        <f t="shared" si="84"/>
        <v>0</v>
      </c>
      <c r="P337" s="72">
        <f t="shared" si="84"/>
        <v>0</v>
      </c>
      <c r="Q337" s="72">
        <f t="shared" si="84"/>
        <v>0</v>
      </c>
      <c r="R337" s="72">
        <f t="shared" si="84"/>
        <v>0</v>
      </c>
      <c r="S337" s="13">
        <f>SUM(J337:O337)</f>
        <v>364542.5</v>
      </c>
      <c r="T337" s="14">
        <v>2019</v>
      </c>
      <c r="Y337" s="16"/>
    </row>
    <row r="338" spans="1:20" ht="15">
      <c r="A338" s="9" t="s">
        <v>337</v>
      </c>
      <c r="B338" s="9">
        <v>1</v>
      </c>
      <c r="C338" s="9">
        <v>9</v>
      </c>
      <c r="D338" s="9">
        <v>0</v>
      </c>
      <c r="E338" s="9">
        <v>0</v>
      </c>
      <c r="F338" s="9">
        <v>0</v>
      </c>
      <c r="G338" s="9">
        <v>3</v>
      </c>
      <c r="H338" s="18" t="s">
        <v>234</v>
      </c>
      <c r="I338" s="91" t="s">
        <v>264</v>
      </c>
      <c r="J338" s="8">
        <f>J341</f>
        <v>0</v>
      </c>
      <c r="K338" s="8">
        <f aca="true" t="shared" si="85" ref="K338:R338">K341</f>
        <v>0</v>
      </c>
      <c r="L338" s="8">
        <f t="shared" si="85"/>
        <v>0</v>
      </c>
      <c r="M338" s="8">
        <f t="shared" si="85"/>
        <v>0</v>
      </c>
      <c r="N338" s="8">
        <f t="shared" si="85"/>
        <v>0</v>
      </c>
      <c r="O338" s="8">
        <f t="shared" si="85"/>
        <v>0</v>
      </c>
      <c r="P338" s="8">
        <f t="shared" si="85"/>
        <v>0</v>
      </c>
      <c r="Q338" s="8">
        <f t="shared" si="85"/>
        <v>0</v>
      </c>
      <c r="R338" s="8">
        <f t="shared" si="85"/>
        <v>0</v>
      </c>
      <c r="S338" s="8">
        <f>SUM(J338:R338)</f>
        <v>0</v>
      </c>
      <c r="T338" s="20">
        <v>2019</v>
      </c>
    </row>
    <row r="339" spans="1:20" ht="15">
      <c r="A339" s="9" t="s">
        <v>337</v>
      </c>
      <c r="B339" s="9">
        <v>1</v>
      </c>
      <c r="C339" s="9">
        <v>9</v>
      </c>
      <c r="D339" s="9">
        <v>0</v>
      </c>
      <c r="E339" s="9">
        <v>0</v>
      </c>
      <c r="F339" s="9">
        <v>0</v>
      </c>
      <c r="G339" s="9">
        <v>5</v>
      </c>
      <c r="H339" s="18" t="s">
        <v>340</v>
      </c>
      <c r="I339" s="91" t="s">
        <v>264</v>
      </c>
      <c r="J339" s="8">
        <f>J342</f>
        <v>364542.5</v>
      </c>
      <c r="K339" s="8">
        <f aca="true" t="shared" si="86" ref="K339:R339">K342</f>
        <v>0</v>
      </c>
      <c r="L339" s="8">
        <f t="shared" si="86"/>
        <v>0</v>
      </c>
      <c r="M339" s="8">
        <f t="shared" si="86"/>
        <v>0</v>
      </c>
      <c r="N339" s="8">
        <f t="shared" si="86"/>
        <v>0</v>
      </c>
      <c r="O339" s="8">
        <f t="shared" si="86"/>
        <v>0</v>
      </c>
      <c r="P339" s="8">
        <f t="shared" si="86"/>
        <v>0</v>
      </c>
      <c r="Q339" s="8">
        <f t="shared" si="86"/>
        <v>0</v>
      </c>
      <c r="R339" s="8">
        <f t="shared" si="86"/>
        <v>0</v>
      </c>
      <c r="S339" s="8">
        <f aca="true" t="shared" si="87" ref="S339:S344">SUM(J339:R339)</f>
        <v>364542.5</v>
      </c>
      <c r="T339" s="20">
        <v>2016</v>
      </c>
    </row>
    <row r="340" spans="1:26" ht="30">
      <c r="A340" s="9" t="s">
        <v>337</v>
      </c>
      <c r="B340" s="9">
        <v>1</v>
      </c>
      <c r="C340" s="9">
        <v>9</v>
      </c>
      <c r="D340" s="9">
        <v>1</v>
      </c>
      <c r="E340" s="9">
        <v>0</v>
      </c>
      <c r="F340" s="9">
        <v>0</v>
      </c>
      <c r="G340" s="9"/>
      <c r="H340" s="18" t="s">
        <v>131</v>
      </c>
      <c r="I340" s="91" t="s">
        <v>264</v>
      </c>
      <c r="J340" s="8">
        <f>SUM(J341:J342)</f>
        <v>364542.5</v>
      </c>
      <c r="K340" s="8">
        <f aca="true" t="shared" si="88" ref="K340:R340">SUM(K341:K342)</f>
        <v>0</v>
      </c>
      <c r="L340" s="8">
        <f t="shared" si="88"/>
        <v>0</v>
      </c>
      <c r="M340" s="8">
        <f t="shared" si="88"/>
        <v>0</v>
      </c>
      <c r="N340" s="8">
        <f t="shared" si="88"/>
        <v>0</v>
      </c>
      <c r="O340" s="8">
        <f t="shared" si="88"/>
        <v>0</v>
      </c>
      <c r="P340" s="8">
        <f t="shared" si="88"/>
        <v>0</v>
      </c>
      <c r="Q340" s="8">
        <f t="shared" si="88"/>
        <v>0</v>
      </c>
      <c r="R340" s="8">
        <f t="shared" si="88"/>
        <v>0</v>
      </c>
      <c r="S340" s="8">
        <f t="shared" si="87"/>
        <v>364542.5</v>
      </c>
      <c r="T340" s="17">
        <v>2019</v>
      </c>
      <c r="Z340" s="16"/>
    </row>
    <row r="341" spans="1:26" ht="15">
      <c r="A341" s="9" t="s">
        <v>337</v>
      </c>
      <c r="B341" s="9">
        <v>1</v>
      </c>
      <c r="C341" s="9">
        <v>9</v>
      </c>
      <c r="D341" s="9">
        <v>1</v>
      </c>
      <c r="E341" s="9">
        <v>0</v>
      </c>
      <c r="F341" s="9">
        <v>0</v>
      </c>
      <c r="G341" s="9">
        <v>3</v>
      </c>
      <c r="H341" s="18" t="s">
        <v>234</v>
      </c>
      <c r="I341" s="91" t="s">
        <v>264</v>
      </c>
      <c r="J341" s="8">
        <f>J345</f>
        <v>0</v>
      </c>
      <c r="K341" s="8">
        <f aca="true" t="shared" si="89" ref="K341:R341">K345</f>
        <v>0</v>
      </c>
      <c r="L341" s="8">
        <f t="shared" si="89"/>
        <v>0</v>
      </c>
      <c r="M341" s="8">
        <f t="shared" si="89"/>
        <v>0</v>
      </c>
      <c r="N341" s="8">
        <f t="shared" si="89"/>
        <v>0</v>
      </c>
      <c r="O341" s="8">
        <f t="shared" si="89"/>
        <v>0</v>
      </c>
      <c r="P341" s="8">
        <f t="shared" si="89"/>
        <v>0</v>
      </c>
      <c r="Q341" s="8">
        <f t="shared" si="89"/>
        <v>0</v>
      </c>
      <c r="R341" s="8">
        <f t="shared" si="89"/>
        <v>0</v>
      </c>
      <c r="S341" s="8">
        <f t="shared" si="87"/>
        <v>0</v>
      </c>
      <c r="T341" s="17">
        <v>2019</v>
      </c>
      <c r="Z341" s="16"/>
    </row>
    <row r="342" spans="1:20" ht="15">
      <c r="A342" s="9" t="s">
        <v>337</v>
      </c>
      <c r="B342" s="9">
        <v>1</v>
      </c>
      <c r="C342" s="9">
        <v>9</v>
      </c>
      <c r="D342" s="9">
        <v>1</v>
      </c>
      <c r="E342" s="9">
        <v>0</v>
      </c>
      <c r="F342" s="9">
        <v>0</v>
      </c>
      <c r="G342" s="9">
        <v>5</v>
      </c>
      <c r="H342" s="18" t="s">
        <v>340</v>
      </c>
      <c r="I342" s="91" t="s">
        <v>264</v>
      </c>
      <c r="J342" s="8">
        <f>J344</f>
        <v>364542.5</v>
      </c>
      <c r="K342" s="8">
        <f aca="true" t="shared" si="90" ref="K342:R342">K344</f>
        <v>0</v>
      </c>
      <c r="L342" s="8">
        <f t="shared" si="90"/>
        <v>0</v>
      </c>
      <c r="M342" s="8">
        <f t="shared" si="90"/>
        <v>0</v>
      </c>
      <c r="N342" s="8">
        <f t="shared" si="90"/>
        <v>0</v>
      </c>
      <c r="O342" s="8">
        <f t="shared" si="90"/>
        <v>0</v>
      </c>
      <c r="P342" s="8">
        <f t="shared" si="90"/>
        <v>0</v>
      </c>
      <c r="Q342" s="8">
        <f t="shared" si="90"/>
        <v>0</v>
      </c>
      <c r="R342" s="8">
        <f t="shared" si="90"/>
        <v>0</v>
      </c>
      <c r="S342" s="8">
        <f t="shared" si="87"/>
        <v>364542.5</v>
      </c>
      <c r="T342" s="20">
        <v>2016</v>
      </c>
    </row>
    <row r="343" spans="1:20" ht="60">
      <c r="A343" s="9" t="s">
        <v>337</v>
      </c>
      <c r="B343" s="9">
        <v>1</v>
      </c>
      <c r="C343" s="9">
        <v>9</v>
      </c>
      <c r="D343" s="9">
        <v>1</v>
      </c>
      <c r="E343" s="9">
        <v>0</v>
      </c>
      <c r="F343" s="9">
        <v>1</v>
      </c>
      <c r="G343" s="9">
        <v>5</v>
      </c>
      <c r="H343" s="18" t="s">
        <v>136</v>
      </c>
      <c r="I343" s="91" t="s">
        <v>264</v>
      </c>
      <c r="J343" s="8">
        <f aca="true" t="shared" si="91" ref="J343:R343">J344</f>
        <v>364542.5</v>
      </c>
      <c r="K343" s="8">
        <f t="shared" si="91"/>
        <v>0</v>
      </c>
      <c r="L343" s="8">
        <f t="shared" si="91"/>
        <v>0</v>
      </c>
      <c r="M343" s="8">
        <f t="shared" si="91"/>
        <v>0</v>
      </c>
      <c r="N343" s="8">
        <f t="shared" si="91"/>
        <v>0</v>
      </c>
      <c r="O343" s="8">
        <f t="shared" si="91"/>
        <v>0</v>
      </c>
      <c r="P343" s="8">
        <f t="shared" si="91"/>
        <v>0</v>
      </c>
      <c r="Q343" s="8">
        <f t="shared" si="91"/>
        <v>0</v>
      </c>
      <c r="R343" s="8">
        <f t="shared" si="91"/>
        <v>0</v>
      </c>
      <c r="S343" s="8">
        <f t="shared" si="87"/>
        <v>364542.5</v>
      </c>
      <c r="T343" s="20">
        <v>2016</v>
      </c>
    </row>
    <row r="344" spans="1:20" ht="15">
      <c r="A344" s="9" t="s">
        <v>337</v>
      </c>
      <c r="B344" s="9">
        <v>1</v>
      </c>
      <c r="C344" s="9">
        <v>9</v>
      </c>
      <c r="D344" s="9">
        <v>1</v>
      </c>
      <c r="E344" s="9">
        <v>0</v>
      </c>
      <c r="F344" s="9">
        <v>1</v>
      </c>
      <c r="G344" s="9">
        <v>5</v>
      </c>
      <c r="H344" s="18" t="s">
        <v>340</v>
      </c>
      <c r="I344" s="91" t="s">
        <v>264</v>
      </c>
      <c r="J344" s="8">
        <f>364542.4+0.1</f>
        <v>364542.5</v>
      </c>
      <c r="K344" s="21">
        <v>0</v>
      </c>
      <c r="L344" s="21">
        <v>0</v>
      </c>
      <c r="M344" s="21">
        <v>0</v>
      </c>
      <c r="N344" s="21">
        <v>0</v>
      </c>
      <c r="O344" s="21">
        <v>0</v>
      </c>
      <c r="P344" s="21">
        <v>0</v>
      </c>
      <c r="Q344" s="21">
        <v>0</v>
      </c>
      <c r="R344" s="21">
        <v>0</v>
      </c>
      <c r="S344" s="8">
        <f t="shared" si="87"/>
        <v>364542.5</v>
      </c>
      <c r="T344" s="20">
        <v>2016</v>
      </c>
    </row>
    <row r="345" spans="1:20" ht="75">
      <c r="A345" s="9" t="s">
        <v>337</v>
      </c>
      <c r="B345" s="9">
        <v>1</v>
      </c>
      <c r="C345" s="9">
        <v>9</v>
      </c>
      <c r="D345" s="9">
        <v>1</v>
      </c>
      <c r="E345" s="9">
        <v>0</v>
      </c>
      <c r="F345" s="9">
        <v>2</v>
      </c>
      <c r="G345" s="9">
        <v>3</v>
      </c>
      <c r="H345" s="18" t="s">
        <v>8</v>
      </c>
      <c r="I345" s="91" t="s">
        <v>264</v>
      </c>
      <c r="J345" s="8">
        <v>0</v>
      </c>
      <c r="K345" s="8">
        <v>0</v>
      </c>
      <c r="L345" s="8">
        <v>0</v>
      </c>
      <c r="M345" s="8"/>
      <c r="N345" s="8">
        <v>0</v>
      </c>
      <c r="O345" s="8">
        <v>0</v>
      </c>
      <c r="P345" s="8">
        <v>0</v>
      </c>
      <c r="Q345" s="8">
        <v>0</v>
      </c>
      <c r="R345" s="8">
        <v>0</v>
      </c>
      <c r="S345" s="8">
        <f>SUM(J345:R345)</f>
        <v>0</v>
      </c>
      <c r="T345" s="20">
        <v>2019</v>
      </c>
    </row>
    <row r="346" spans="1:20" ht="15">
      <c r="A346" s="9" t="s">
        <v>337</v>
      </c>
      <c r="B346" s="91">
        <v>1</v>
      </c>
      <c r="C346" s="91">
        <v>9</v>
      </c>
      <c r="D346" s="91">
        <v>2</v>
      </c>
      <c r="E346" s="91">
        <v>0</v>
      </c>
      <c r="F346" s="91">
        <v>0</v>
      </c>
      <c r="G346" s="91"/>
      <c r="H346" s="73" t="s">
        <v>39</v>
      </c>
      <c r="I346" s="91" t="s">
        <v>253</v>
      </c>
      <c r="J346" s="38" t="s">
        <v>267</v>
      </c>
      <c r="K346" s="38" t="s">
        <v>267</v>
      </c>
      <c r="L346" s="8" t="s">
        <v>90</v>
      </c>
      <c r="M346" s="38" t="s">
        <v>90</v>
      </c>
      <c r="N346" s="38" t="s">
        <v>90</v>
      </c>
      <c r="O346" s="38" t="s">
        <v>90</v>
      </c>
      <c r="P346" s="38" t="s">
        <v>90</v>
      </c>
      <c r="Q346" s="38" t="s">
        <v>90</v>
      </c>
      <c r="R346" s="38" t="s">
        <v>90</v>
      </c>
      <c r="S346" s="38" t="s">
        <v>267</v>
      </c>
      <c r="T346" s="20">
        <v>2017</v>
      </c>
    </row>
    <row r="347" spans="1:20" ht="45">
      <c r="A347" s="9" t="s">
        <v>337</v>
      </c>
      <c r="B347" s="91">
        <v>1</v>
      </c>
      <c r="C347" s="91">
        <v>9</v>
      </c>
      <c r="D347" s="91">
        <v>2</v>
      </c>
      <c r="E347" s="91">
        <v>0</v>
      </c>
      <c r="F347" s="91">
        <v>1</v>
      </c>
      <c r="G347" s="91"/>
      <c r="H347" s="73" t="s">
        <v>29</v>
      </c>
      <c r="I347" s="91" t="s">
        <v>253</v>
      </c>
      <c r="J347" s="38" t="s">
        <v>267</v>
      </c>
      <c r="K347" s="38" t="s">
        <v>267</v>
      </c>
      <c r="L347" s="8" t="s">
        <v>90</v>
      </c>
      <c r="M347" s="38" t="s">
        <v>90</v>
      </c>
      <c r="N347" s="38" t="s">
        <v>90</v>
      </c>
      <c r="O347" s="38" t="s">
        <v>90</v>
      </c>
      <c r="P347" s="38" t="s">
        <v>90</v>
      </c>
      <c r="Q347" s="38" t="s">
        <v>90</v>
      </c>
      <c r="R347" s="38" t="s">
        <v>90</v>
      </c>
      <c r="S347" s="74" t="s">
        <v>90</v>
      </c>
      <c r="T347" s="20">
        <v>2017</v>
      </c>
    </row>
    <row r="348" spans="1:20" ht="15">
      <c r="A348" s="9" t="s">
        <v>337</v>
      </c>
      <c r="B348" s="91">
        <v>1</v>
      </c>
      <c r="C348" s="91">
        <v>9</v>
      </c>
      <c r="D348" s="91">
        <v>2</v>
      </c>
      <c r="E348" s="91">
        <v>0</v>
      </c>
      <c r="F348" s="91">
        <v>1</v>
      </c>
      <c r="G348" s="91"/>
      <c r="H348" s="73" t="s">
        <v>40</v>
      </c>
      <c r="I348" s="91" t="s">
        <v>41</v>
      </c>
      <c r="J348" s="74">
        <v>4</v>
      </c>
      <c r="K348" s="74">
        <v>4</v>
      </c>
      <c r="L348" s="74">
        <v>0</v>
      </c>
      <c r="M348" s="74">
        <v>0</v>
      </c>
      <c r="N348" s="74">
        <v>0</v>
      </c>
      <c r="O348" s="74">
        <v>0</v>
      </c>
      <c r="P348" s="74">
        <v>0</v>
      </c>
      <c r="Q348" s="74">
        <v>0</v>
      </c>
      <c r="R348" s="74">
        <v>0</v>
      </c>
      <c r="S348" s="74">
        <f>SUM(J348:R348)</f>
        <v>8</v>
      </c>
      <c r="T348" s="20">
        <v>2017</v>
      </c>
    </row>
    <row r="349" spans="1:20" ht="45">
      <c r="A349" s="9" t="s">
        <v>337</v>
      </c>
      <c r="B349" s="91">
        <v>1</v>
      </c>
      <c r="C349" s="91">
        <v>9</v>
      </c>
      <c r="D349" s="91">
        <v>2</v>
      </c>
      <c r="E349" s="91">
        <v>0</v>
      </c>
      <c r="F349" s="91">
        <v>2</v>
      </c>
      <c r="G349" s="75"/>
      <c r="H349" s="73" t="s">
        <v>42</v>
      </c>
      <c r="I349" s="91" t="s">
        <v>253</v>
      </c>
      <c r="J349" s="38" t="s">
        <v>267</v>
      </c>
      <c r="K349" s="38" t="s">
        <v>267</v>
      </c>
      <c r="L349" s="8" t="s">
        <v>90</v>
      </c>
      <c r="M349" s="38" t="s">
        <v>90</v>
      </c>
      <c r="N349" s="38" t="s">
        <v>90</v>
      </c>
      <c r="O349" s="38" t="s">
        <v>90</v>
      </c>
      <c r="P349" s="38" t="s">
        <v>90</v>
      </c>
      <c r="Q349" s="38" t="s">
        <v>90</v>
      </c>
      <c r="R349" s="38" t="s">
        <v>90</v>
      </c>
      <c r="S349" s="74" t="s">
        <v>90</v>
      </c>
      <c r="T349" s="20">
        <v>2017</v>
      </c>
    </row>
    <row r="350" spans="1:20" ht="15">
      <c r="A350" s="9" t="s">
        <v>337</v>
      </c>
      <c r="B350" s="91">
        <v>1</v>
      </c>
      <c r="C350" s="91">
        <v>9</v>
      </c>
      <c r="D350" s="91">
        <v>2</v>
      </c>
      <c r="E350" s="91">
        <v>0</v>
      </c>
      <c r="F350" s="91">
        <v>2</v>
      </c>
      <c r="G350" s="91"/>
      <c r="H350" s="73" t="s">
        <v>43</v>
      </c>
      <c r="I350" s="91" t="s">
        <v>41</v>
      </c>
      <c r="J350" s="74">
        <v>12</v>
      </c>
      <c r="K350" s="74">
        <v>12</v>
      </c>
      <c r="L350" s="74">
        <v>0</v>
      </c>
      <c r="M350" s="74">
        <v>0</v>
      </c>
      <c r="N350" s="74">
        <v>0</v>
      </c>
      <c r="O350" s="74">
        <v>0</v>
      </c>
      <c r="P350" s="74">
        <v>0</v>
      </c>
      <c r="Q350" s="74">
        <v>0</v>
      </c>
      <c r="R350" s="74">
        <v>0</v>
      </c>
      <c r="S350" s="74">
        <f>SUM(J350:R350)</f>
        <v>24</v>
      </c>
      <c r="T350" s="20">
        <v>2017</v>
      </c>
    </row>
    <row r="351" spans="1:20" ht="15">
      <c r="A351" s="76"/>
      <c r="B351" s="77"/>
      <c r="C351" s="77"/>
      <c r="D351" s="77"/>
      <c r="E351" s="77"/>
      <c r="F351" s="77"/>
      <c r="G351" s="77"/>
      <c r="H351" s="78"/>
      <c r="I351" s="77"/>
      <c r="J351" s="79"/>
      <c r="K351" s="79"/>
      <c r="L351" s="79"/>
      <c r="M351" s="79"/>
      <c r="N351" s="79"/>
      <c r="O351" s="79"/>
      <c r="P351" s="79"/>
      <c r="Q351" s="79"/>
      <c r="R351" s="79"/>
      <c r="S351" s="80"/>
      <c r="T351" s="81"/>
    </row>
    <row r="352" spans="1:9" ht="15.75">
      <c r="A352" s="82"/>
      <c r="B352" s="83"/>
      <c r="C352" s="83"/>
      <c r="D352" s="83" t="s">
        <v>378</v>
      </c>
      <c r="E352" s="83"/>
      <c r="F352" s="83"/>
      <c r="G352" s="83"/>
      <c r="H352" s="83"/>
      <c r="I352" s="83"/>
    </row>
    <row r="353" spans="1:9" ht="15.75">
      <c r="A353" s="82"/>
      <c r="B353" s="83"/>
      <c r="C353" s="83"/>
      <c r="D353" s="83" t="s">
        <v>377</v>
      </c>
      <c r="E353" s="83"/>
      <c r="F353" s="83"/>
      <c r="G353" s="83"/>
      <c r="H353" s="83"/>
      <c r="I353" s="83"/>
    </row>
    <row r="354" spans="2:20" ht="12.75" hidden="1">
      <c r="B354" s="83"/>
      <c r="C354" s="83"/>
      <c r="D354" s="83"/>
      <c r="E354" s="83"/>
      <c r="F354" s="83"/>
      <c r="G354" s="83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R354" s="83"/>
      <c r="S354" s="83"/>
      <c r="T354" s="83"/>
    </row>
    <row r="355" spans="2:20" ht="12.75" hidden="1">
      <c r="B355" s="83"/>
      <c r="C355" s="83"/>
      <c r="D355" s="83"/>
      <c r="E355" s="83"/>
      <c r="F355" s="83"/>
      <c r="G355" s="83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R355" s="83"/>
      <c r="S355" s="83"/>
      <c r="T355" s="83"/>
    </row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4" spans="1:21" ht="12.75">
      <c r="A374" s="83"/>
      <c r="U374" s="15"/>
    </row>
    <row r="375" ht="12.75">
      <c r="A375" s="83"/>
    </row>
    <row r="376" spans="12:15" ht="12.75">
      <c r="L376" s="16"/>
      <c r="M376" s="16"/>
      <c r="N376" s="16"/>
      <c r="O376" s="16"/>
    </row>
  </sheetData>
  <sheetProtection/>
  <autoFilter ref="A21:U353"/>
  <mergeCells count="13">
    <mergeCell ref="A13:T17"/>
    <mergeCell ref="F12:T12"/>
    <mergeCell ref="A8:T8"/>
    <mergeCell ref="A9:T9"/>
    <mergeCell ref="A11:T11"/>
    <mergeCell ref="F10:T10"/>
    <mergeCell ref="G19:G20"/>
    <mergeCell ref="A19:F19"/>
    <mergeCell ref="S19:T19"/>
    <mergeCell ref="E20:F20"/>
    <mergeCell ref="I19:I20"/>
    <mergeCell ref="H19:H20"/>
    <mergeCell ref="J19:R19"/>
  </mergeCells>
  <printOptions/>
  <pageMargins left="0.3937007874015748" right="0.3937007874015748" top="0.7874015748031497" bottom="0.3937007874015748" header="0.5118110236220472" footer="0.31496062992125984"/>
  <pageSetup fitToHeight="0" fitToWidth="1" horizontalDpi="600" verticalDpi="600" orientation="landscape" paperSize="9" scale="63" r:id="rId3"/>
  <headerFooter differentFirst="1"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O133"/>
  <sheetViews>
    <sheetView view="pageBreakPreview" zoomScale="98" zoomScaleSheetLayoutView="98" zoomScalePageLayoutView="0" workbookViewId="0" topLeftCell="A11">
      <pane xSplit="3" ySplit="4" topLeftCell="G126" activePane="bottomRight" state="frozen"/>
      <selection pane="topLeft" activeCell="A11" sqref="A11"/>
      <selection pane="topRight" activeCell="D11" sqref="D11"/>
      <selection pane="bottomLeft" activeCell="A15" sqref="A15"/>
      <selection pane="bottomRight" activeCell="H128" sqref="H128"/>
    </sheetView>
  </sheetViews>
  <sheetFormatPr defaultColWidth="9.00390625" defaultRowHeight="12.75"/>
  <cols>
    <col min="1" max="1" width="39.125" style="134" customWidth="1"/>
    <col min="2" max="2" width="6.25390625" style="134" customWidth="1"/>
    <col min="3" max="3" width="45.00390625" style="134" customWidth="1"/>
    <col min="4" max="4" width="12.375" style="134" hidden="1" customWidth="1"/>
    <col min="5" max="5" width="11.25390625" style="134" hidden="1" customWidth="1"/>
    <col min="6" max="6" width="11.625" style="134" hidden="1" customWidth="1"/>
    <col min="7" max="7" width="8.25390625" style="134" customWidth="1"/>
    <col min="8" max="8" width="11.625" style="134" customWidth="1"/>
    <col min="9" max="9" width="11.125" style="134" customWidth="1"/>
    <col min="10" max="13" width="11.00390625" style="134" customWidth="1"/>
    <col min="14" max="14" width="8.75390625" style="95" customWidth="1"/>
    <col min="15" max="16384" width="9.125" style="134" customWidth="1"/>
  </cols>
  <sheetData>
    <row r="1" spans="1:13" ht="15.75">
      <c r="A1" s="176" t="s">
        <v>380</v>
      </c>
      <c r="B1" s="177"/>
      <c r="C1" s="177"/>
      <c r="D1" s="177"/>
      <c r="E1" s="177"/>
      <c r="F1" s="177"/>
      <c r="G1" s="177"/>
      <c r="H1" s="177"/>
      <c r="I1" s="177"/>
      <c r="J1" s="177"/>
      <c r="K1" s="94"/>
      <c r="L1" s="94"/>
      <c r="M1" s="94"/>
    </row>
    <row r="2" spans="1:13" ht="15.75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94"/>
      <c r="L2" s="94"/>
      <c r="M2" s="94"/>
    </row>
    <row r="3" spans="1:13" ht="15.75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94"/>
      <c r="L3" s="94"/>
      <c r="M3" s="94"/>
    </row>
    <row r="4" spans="1:13" ht="15.75">
      <c r="A4" s="96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13" ht="15.75">
      <c r="A5" s="82" t="s">
        <v>351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3" ht="15.75">
      <c r="A6" s="179" t="s">
        <v>352</v>
      </c>
      <c r="B6" s="180"/>
      <c r="C6" s="180"/>
      <c r="D6" s="180"/>
      <c r="E6" s="180"/>
      <c r="F6" s="180"/>
      <c r="G6" s="180"/>
      <c r="H6" s="180"/>
      <c r="I6" s="180"/>
      <c r="J6" s="180"/>
      <c r="K6" s="97"/>
      <c r="L6" s="97"/>
      <c r="M6" s="97"/>
    </row>
    <row r="7" spans="1:13" ht="15.75">
      <c r="A7" s="180"/>
      <c r="B7" s="180"/>
      <c r="C7" s="180"/>
      <c r="D7" s="180"/>
      <c r="E7" s="180"/>
      <c r="F7" s="180"/>
      <c r="G7" s="180"/>
      <c r="H7" s="180"/>
      <c r="I7" s="180"/>
      <c r="J7" s="180"/>
      <c r="K7" s="97"/>
      <c r="L7" s="97"/>
      <c r="M7" s="97"/>
    </row>
    <row r="8" spans="1:13" ht="15.75">
      <c r="A8" s="180"/>
      <c r="B8" s="180"/>
      <c r="C8" s="180"/>
      <c r="D8" s="180"/>
      <c r="E8" s="180"/>
      <c r="F8" s="180"/>
      <c r="G8" s="180"/>
      <c r="H8" s="180"/>
      <c r="I8" s="180"/>
      <c r="J8" s="180"/>
      <c r="K8" s="97"/>
      <c r="L8" s="97"/>
      <c r="M8" s="97"/>
    </row>
    <row r="9" spans="1:13" ht="15.75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97"/>
      <c r="L9" s="97"/>
      <c r="M9" s="97"/>
    </row>
    <row r="10" ht="12.75"/>
    <row r="11" spans="1:13" ht="12.75">
      <c r="A11" s="178" t="s">
        <v>150</v>
      </c>
      <c r="B11" s="178" t="s">
        <v>259</v>
      </c>
      <c r="C11" s="178" t="s">
        <v>151</v>
      </c>
      <c r="D11" s="149" t="s">
        <v>152</v>
      </c>
      <c r="E11" s="149"/>
      <c r="F11" s="149"/>
      <c r="G11" s="149"/>
      <c r="H11" s="149"/>
      <c r="I11" s="149"/>
      <c r="J11" s="149"/>
      <c r="K11" s="98"/>
      <c r="L11" s="98"/>
      <c r="M11" s="98"/>
    </row>
    <row r="12" spans="1:13" ht="12.75">
      <c r="A12" s="178"/>
      <c r="B12" s="178"/>
      <c r="C12" s="178"/>
      <c r="D12" s="99" t="s">
        <v>153</v>
      </c>
      <c r="E12" s="99">
        <v>2016</v>
      </c>
      <c r="F12" s="99">
        <v>2017</v>
      </c>
      <c r="G12" s="99">
        <v>2018</v>
      </c>
      <c r="H12" s="99">
        <v>2019</v>
      </c>
      <c r="I12" s="100">
        <v>2020</v>
      </c>
      <c r="J12" s="100">
        <v>2021</v>
      </c>
      <c r="K12" s="100">
        <v>2022</v>
      </c>
      <c r="L12" s="100">
        <v>2023</v>
      </c>
      <c r="M12" s="100">
        <v>2024</v>
      </c>
    </row>
    <row r="13" spans="1:13" ht="12.75">
      <c r="A13" s="178"/>
      <c r="B13" s="178"/>
      <c r="C13" s="178"/>
      <c r="D13" s="99" t="s">
        <v>154</v>
      </c>
      <c r="E13" s="99" t="s">
        <v>155</v>
      </c>
      <c r="F13" s="99" t="s">
        <v>155</v>
      </c>
      <c r="G13" s="99" t="s">
        <v>155</v>
      </c>
      <c r="H13" s="99" t="s">
        <v>155</v>
      </c>
      <c r="I13" s="100" t="s">
        <v>155</v>
      </c>
      <c r="J13" s="100" t="s">
        <v>155</v>
      </c>
      <c r="K13" s="100" t="s">
        <v>155</v>
      </c>
      <c r="L13" s="100" t="s">
        <v>155</v>
      </c>
      <c r="M13" s="100" t="s">
        <v>155</v>
      </c>
    </row>
    <row r="14" spans="1:13" ht="12.75">
      <c r="A14" s="100">
        <v>1</v>
      </c>
      <c r="B14" s="100">
        <v>2</v>
      </c>
      <c r="C14" s="100">
        <v>3</v>
      </c>
      <c r="D14" s="100">
        <v>4</v>
      </c>
      <c r="E14" s="100">
        <v>5</v>
      </c>
      <c r="F14" s="100">
        <v>6</v>
      </c>
      <c r="G14" s="100">
        <v>7</v>
      </c>
      <c r="H14" s="100">
        <v>8</v>
      </c>
      <c r="I14" s="100">
        <v>9</v>
      </c>
      <c r="J14" s="100">
        <v>10</v>
      </c>
      <c r="K14" s="100">
        <v>11</v>
      </c>
      <c r="L14" s="100">
        <v>12</v>
      </c>
      <c r="M14" s="100">
        <v>13</v>
      </c>
    </row>
    <row r="15" spans="1:14" ht="25.5">
      <c r="A15" s="101" t="s">
        <v>210</v>
      </c>
      <c r="B15" s="100" t="s">
        <v>263</v>
      </c>
      <c r="C15" s="102" t="s">
        <v>156</v>
      </c>
      <c r="D15" s="21">
        <v>30330</v>
      </c>
      <c r="E15" s="37">
        <v>37033</v>
      </c>
      <c r="F15" s="37">
        <v>44827.9</v>
      </c>
      <c r="G15" s="37">
        <v>58613</v>
      </c>
      <c r="H15" s="21">
        <v>68626.5</v>
      </c>
      <c r="I15" s="21">
        <v>87458</v>
      </c>
      <c r="J15" s="21">
        <v>57706</v>
      </c>
      <c r="K15" s="58">
        <v>52577.9</v>
      </c>
      <c r="L15" s="58">
        <v>56638</v>
      </c>
      <c r="M15" s="58">
        <v>60698</v>
      </c>
      <c r="N15" s="103" t="s">
        <v>211</v>
      </c>
    </row>
    <row r="16" spans="1:13" ht="51">
      <c r="A16" s="150" t="s">
        <v>283</v>
      </c>
      <c r="B16" s="149" t="s">
        <v>263</v>
      </c>
      <c r="C16" s="101" t="s">
        <v>279</v>
      </c>
      <c r="D16" s="22">
        <f>D17/D18</f>
        <v>22.409323649763266</v>
      </c>
      <c r="E16" s="22">
        <f aca="true" t="shared" si="0" ref="E16:J16">E17/E18</f>
        <v>26.494136505935156</v>
      </c>
      <c r="F16" s="22">
        <f t="shared" si="0"/>
        <v>22.866442120095385</v>
      </c>
      <c r="G16" s="22">
        <f t="shared" si="0"/>
        <v>23.423179754818015</v>
      </c>
      <c r="H16" s="22">
        <f t="shared" si="0"/>
        <v>23.784693692710608</v>
      </c>
      <c r="I16" s="22">
        <f t="shared" si="0"/>
        <v>24.429555628576907</v>
      </c>
      <c r="J16" s="22">
        <f t="shared" si="0"/>
        <v>24.81090943582976</v>
      </c>
      <c r="K16" s="22">
        <f>K17/K18</f>
        <v>25.16843535874997</v>
      </c>
      <c r="L16" s="22">
        <f>L17/L18</f>
        <v>25.548591662509015</v>
      </c>
      <c r="M16" s="22">
        <f>M17/M18</f>
        <v>25.956580740328423</v>
      </c>
    </row>
    <row r="17" spans="1:15" ht="25.5">
      <c r="A17" s="160"/>
      <c r="B17" s="149"/>
      <c r="C17" s="104" t="s">
        <v>280</v>
      </c>
      <c r="D17" s="88">
        <f>4126900+57100</f>
        <v>4184000</v>
      </c>
      <c r="E17" s="88">
        <v>4917020.3</v>
      </c>
      <c r="F17" s="88">
        <v>4219315.9</v>
      </c>
      <c r="G17" s="88">
        <f>4256272.5+G15-6308.7</f>
        <v>4308576.8</v>
      </c>
      <c r="H17" s="88">
        <f>G17+H15-17944.64</f>
        <v>4359258.66</v>
      </c>
      <c r="I17" s="88">
        <v>4460714.71</v>
      </c>
      <c r="J17" s="88">
        <v>4512111.99</v>
      </c>
      <c r="K17" s="88">
        <v>4558381.170000001</v>
      </c>
      <c r="L17" s="88">
        <v>4608710.450000001</v>
      </c>
      <c r="M17" s="88">
        <v>4663099.730000001</v>
      </c>
      <c r="N17" s="95" t="s">
        <v>212</v>
      </c>
      <c r="O17" s="134" t="s">
        <v>376</v>
      </c>
    </row>
    <row r="18" spans="1:14" ht="12.75">
      <c r="A18" s="160"/>
      <c r="B18" s="149"/>
      <c r="C18" s="105" t="s">
        <v>365</v>
      </c>
      <c r="D18" s="28">
        <v>186708</v>
      </c>
      <c r="E18" s="28">
        <v>185589</v>
      </c>
      <c r="F18" s="28">
        <v>184520</v>
      </c>
      <c r="G18" s="28">
        <v>183945</v>
      </c>
      <c r="H18" s="29">
        <v>183280</v>
      </c>
      <c r="I18" s="29">
        <v>182595</v>
      </c>
      <c r="J18" s="29">
        <v>181860</v>
      </c>
      <c r="K18" s="29">
        <v>181115</v>
      </c>
      <c r="L18" s="29">
        <v>180390</v>
      </c>
      <c r="M18" s="29">
        <v>179650</v>
      </c>
      <c r="N18" s="95" t="s">
        <v>213</v>
      </c>
    </row>
    <row r="19" spans="1:13" ht="51">
      <c r="A19" s="159" t="s">
        <v>209</v>
      </c>
      <c r="B19" s="149" t="s">
        <v>266</v>
      </c>
      <c r="C19" s="102" t="s">
        <v>214</v>
      </c>
      <c r="D19" s="22">
        <f>D20/D21*100</f>
        <v>1.684976099426386</v>
      </c>
      <c r="E19" s="22">
        <f aca="true" t="shared" si="1" ref="E19:J19">E20/E21*100</f>
        <v>1.2334360303535863</v>
      </c>
      <c r="F19" s="22">
        <f t="shared" si="1"/>
        <v>2.44260449898999</v>
      </c>
      <c r="G19" s="22">
        <f t="shared" si="1"/>
        <v>2.355555087239016</v>
      </c>
      <c r="H19" s="22">
        <f t="shared" si="1"/>
        <v>2.0716013213127384</v>
      </c>
      <c r="I19" s="22">
        <f t="shared" si="1"/>
        <v>2.2183510139791025</v>
      </c>
      <c r="J19" s="22">
        <f t="shared" si="1"/>
        <v>2.2086661461609682</v>
      </c>
      <c r="K19" s="22">
        <f>K20/K21*100</f>
        <v>2.201673494540167</v>
      </c>
      <c r="L19" s="22">
        <f>L20/L21*100</f>
        <v>2.1928878174587845</v>
      </c>
      <c r="M19" s="22">
        <f>M20/M21*100</f>
        <v>2.1823901673233124</v>
      </c>
    </row>
    <row r="20" spans="1:15" ht="25.5">
      <c r="A20" s="160"/>
      <c r="B20" s="149"/>
      <c r="C20" s="105" t="s">
        <v>158</v>
      </c>
      <c r="D20" s="21" t="s">
        <v>159</v>
      </c>
      <c r="E20" s="21">
        <v>60648.3</v>
      </c>
      <c r="F20" s="21">
        <f>101885.2+9126.3-7950.3</f>
        <v>103061.2</v>
      </c>
      <c r="G20" s="21">
        <f>100787.7-6308.7+7011.9</f>
        <v>101490.9</v>
      </c>
      <c r="H20" s="21">
        <f>G20-17944.64+6760.2</f>
        <v>90306.45999999999</v>
      </c>
      <c r="I20" s="21">
        <v>98954.30999999998</v>
      </c>
      <c r="J20" s="21">
        <v>99657.48999999998</v>
      </c>
      <c r="K20" s="21">
        <v>100360.66999999997</v>
      </c>
      <c r="L20" s="21">
        <v>101063.84999999996</v>
      </c>
      <c r="M20" s="21">
        <v>101767.02999999996</v>
      </c>
      <c r="N20" s="95" t="s">
        <v>212</v>
      </c>
      <c r="O20" s="134" t="s">
        <v>375</v>
      </c>
    </row>
    <row r="21" spans="1:14" ht="25.5">
      <c r="A21" s="160"/>
      <c r="B21" s="149"/>
      <c r="C21" s="104" t="s">
        <v>280</v>
      </c>
      <c r="D21" s="88">
        <f>4126900+57100</f>
        <v>4184000</v>
      </c>
      <c r="E21" s="106" t="s">
        <v>160</v>
      </c>
      <c r="F21" s="88">
        <f aca="true" t="shared" si="2" ref="F21:M21">F17</f>
        <v>4219315.9</v>
      </c>
      <c r="G21" s="88">
        <f t="shared" si="2"/>
        <v>4308576.8</v>
      </c>
      <c r="H21" s="88">
        <f t="shared" si="2"/>
        <v>4359258.66</v>
      </c>
      <c r="I21" s="88">
        <f t="shared" si="2"/>
        <v>4460714.71</v>
      </c>
      <c r="J21" s="88">
        <f t="shared" si="2"/>
        <v>4512111.99</v>
      </c>
      <c r="K21" s="88">
        <f t="shared" si="2"/>
        <v>4558381.170000001</v>
      </c>
      <c r="L21" s="88">
        <f t="shared" si="2"/>
        <v>4608710.450000001</v>
      </c>
      <c r="M21" s="88">
        <f t="shared" si="2"/>
        <v>4663099.730000001</v>
      </c>
      <c r="N21" s="95" t="s">
        <v>212</v>
      </c>
    </row>
    <row r="22" spans="1:14" ht="51">
      <c r="A22" s="151" t="s">
        <v>347</v>
      </c>
      <c r="B22" s="154" t="s">
        <v>266</v>
      </c>
      <c r="C22" s="107" t="s">
        <v>287</v>
      </c>
      <c r="D22" s="108">
        <f>D23/D29*100</f>
        <v>4.49731811305185</v>
      </c>
      <c r="E22" s="108">
        <f aca="true" t="shared" si="3" ref="E22:J22">E23/E29*100</f>
        <v>5.074821080026025</v>
      </c>
      <c r="F22" s="108">
        <f t="shared" si="3"/>
        <v>20.33898305084746</v>
      </c>
      <c r="G22" s="108">
        <f>G23/G29*100</f>
        <v>2.944049113994698</v>
      </c>
      <c r="H22" s="108">
        <f t="shared" si="3"/>
        <v>3.088586269830128</v>
      </c>
      <c r="I22" s="108">
        <f t="shared" si="3"/>
        <v>4.556457354406949</v>
      </c>
      <c r="J22" s="108">
        <f t="shared" si="3"/>
        <v>5.777841976021956</v>
      </c>
      <c r="K22" s="108">
        <f>K23/K29*100</f>
        <v>5.862523816503005</v>
      </c>
      <c r="L22" s="108">
        <f>L23/L29*100</f>
        <v>5.949724825226833</v>
      </c>
      <c r="M22" s="108">
        <f>M23/M29*100</f>
        <v>6.0395591121848105</v>
      </c>
      <c r="N22" s="95" t="s">
        <v>105</v>
      </c>
    </row>
    <row r="23" spans="1:13" ht="25.5">
      <c r="A23" s="175"/>
      <c r="B23" s="155"/>
      <c r="C23" s="105" t="s">
        <v>288</v>
      </c>
      <c r="D23" s="108">
        <f>D25+D26+D27+D28</f>
        <v>327</v>
      </c>
      <c r="E23" s="108">
        <f>E25+E26+E27+E28</f>
        <v>390</v>
      </c>
      <c r="F23" s="108">
        <f>F25+F26+F27+F28</f>
        <v>768</v>
      </c>
      <c r="G23" s="108">
        <v>211</v>
      </c>
      <c r="H23" s="108">
        <v>220</v>
      </c>
      <c r="I23" s="108">
        <v>320</v>
      </c>
      <c r="J23" s="108">
        <v>400</v>
      </c>
      <c r="K23" s="108">
        <v>400</v>
      </c>
      <c r="L23" s="108">
        <v>400</v>
      </c>
      <c r="M23" s="108">
        <v>400</v>
      </c>
    </row>
    <row r="24" spans="1:13" ht="12.75">
      <c r="A24" s="175"/>
      <c r="B24" s="155"/>
      <c r="C24" s="105" t="s">
        <v>285</v>
      </c>
      <c r="D24" s="108"/>
      <c r="E24" s="109"/>
      <c r="F24" s="109"/>
      <c r="G24" s="109"/>
      <c r="H24" s="109"/>
      <c r="I24" s="109"/>
      <c r="J24" s="109"/>
      <c r="K24" s="109"/>
      <c r="L24" s="109"/>
      <c r="M24" s="109"/>
    </row>
    <row r="25" spans="1:13" ht="25.5" hidden="1">
      <c r="A25" s="175"/>
      <c r="B25" s="155"/>
      <c r="C25" s="105" t="s">
        <v>289</v>
      </c>
      <c r="D25" s="27">
        <v>54</v>
      </c>
      <c r="E25" s="27">
        <v>96</v>
      </c>
      <c r="F25" s="27">
        <v>132</v>
      </c>
      <c r="G25" s="27">
        <v>87</v>
      </c>
      <c r="H25" s="27">
        <v>87</v>
      </c>
      <c r="I25" s="27">
        <v>87</v>
      </c>
      <c r="J25" s="27">
        <v>87</v>
      </c>
      <c r="K25" s="27">
        <v>87</v>
      </c>
      <c r="L25" s="27">
        <v>87</v>
      </c>
      <c r="M25" s="27">
        <v>87</v>
      </c>
    </row>
    <row r="26" spans="1:13" ht="38.25" hidden="1">
      <c r="A26" s="175"/>
      <c r="B26" s="155"/>
      <c r="C26" s="105" t="s">
        <v>286</v>
      </c>
      <c r="D26" s="27">
        <v>247</v>
      </c>
      <c r="E26" s="17">
        <v>280</v>
      </c>
      <c r="F26" s="17">
        <v>632</v>
      </c>
      <c r="G26" s="27">
        <v>115</v>
      </c>
      <c r="H26" s="27">
        <v>100</v>
      </c>
      <c r="I26" s="27">
        <v>100</v>
      </c>
      <c r="J26" s="27">
        <v>100</v>
      </c>
      <c r="K26" s="27">
        <v>100</v>
      </c>
      <c r="L26" s="27">
        <v>100</v>
      </c>
      <c r="M26" s="27">
        <v>100</v>
      </c>
    </row>
    <row r="27" spans="1:13" ht="25.5" hidden="1">
      <c r="A27" s="175"/>
      <c r="B27" s="155"/>
      <c r="C27" s="105" t="s">
        <v>290</v>
      </c>
      <c r="D27" s="27">
        <v>12</v>
      </c>
      <c r="E27" s="21">
        <v>9</v>
      </c>
      <c r="F27" s="21">
        <v>4</v>
      </c>
      <c r="G27" s="21">
        <v>5</v>
      </c>
      <c r="H27" s="21">
        <f aca="true" t="shared" si="4" ref="H27:M27">H121</f>
        <v>10</v>
      </c>
      <c r="I27" s="21">
        <f t="shared" si="4"/>
        <v>6</v>
      </c>
      <c r="J27" s="21">
        <f t="shared" si="4"/>
        <v>6</v>
      </c>
      <c r="K27" s="21">
        <f t="shared" si="4"/>
        <v>7</v>
      </c>
      <c r="L27" s="21">
        <f t="shared" si="4"/>
        <v>7</v>
      </c>
      <c r="M27" s="21">
        <f t="shared" si="4"/>
        <v>7</v>
      </c>
    </row>
    <row r="28" spans="1:13" ht="25.5" hidden="1">
      <c r="A28" s="175"/>
      <c r="B28" s="155"/>
      <c r="C28" s="105" t="s">
        <v>353</v>
      </c>
      <c r="D28" s="27">
        <v>14</v>
      </c>
      <c r="E28" s="27">
        <v>5</v>
      </c>
      <c r="F28" s="27">
        <v>0</v>
      </c>
      <c r="G28" s="27">
        <v>1</v>
      </c>
      <c r="H28" s="27">
        <v>5</v>
      </c>
      <c r="I28" s="27">
        <v>5</v>
      </c>
      <c r="J28" s="27">
        <v>5</v>
      </c>
      <c r="K28" s="27">
        <v>5</v>
      </c>
      <c r="L28" s="27">
        <v>5</v>
      </c>
      <c r="M28" s="27">
        <v>5</v>
      </c>
    </row>
    <row r="29" spans="1:13" ht="25.5">
      <c r="A29" s="175"/>
      <c r="B29" s="155"/>
      <c r="C29" s="102" t="s">
        <v>294</v>
      </c>
      <c r="D29" s="27">
        <f>D31+D32+D33+D34</f>
        <v>7271</v>
      </c>
      <c r="E29" s="27">
        <f>E31+E32+E33+E34</f>
        <v>7685</v>
      </c>
      <c r="F29" s="27">
        <f>F31+F32+F33+F34</f>
        <v>3776</v>
      </c>
      <c r="G29" s="27">
        <v>7167</v>
      </c>
      <c r="H29" s="27">
        <f>6500+623</f>
        <v>7123</v>
      </c>
      <c r="I29" s="27">
        <f>6400+623</f>
        <v>7023</v>
      </c>
      <c r="J29" s="27">
        <f>6300+623</f>
        <v>6923</v>
      </c>
      <c r="K29" s="27">
        <f>6200+623</f>
        <v>6823</v>
      </c>
      <c r="L29" s="27">
        <f>6100+623</f>
        <v>6723</v>
      </c>
      <c r="M29" s="27">
        <f>6000+623</f>
        <v>6623</v>
      </c>
    </row>
    <row r="30" spans="1:13" ht="12.75" hidden="1">
      <c r="A30" s="175"/>
      <c r="B30" s="155"/>
      <c r="C30" s="105" t="s">
        <v>285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3" ht="25.5" hidden="1">
      <c r="A31" s="175"/>
      <c r="B31" s="155"/>
      <c r="C31" s="105" t="s">
        <v>354</v>
      </c>
      <c r="D31" s="27" t="s">
        <v>161</v>
      </c>
      <c r="E31" s="27" t="s">
        <v>161</v>
      </c>
      <c r="F31" s="27">
        <v>634</v>
      </c>
      <c r="G31" s="27">
        <v>590</v>
      </c>
      <c r="H31" s="27">
        <v>623</v>
      </c>
      <c r="I31" s="27">
        <v>623</v>
      </c>
      <c r="J31" s="27">
        <v>623</v>
      </c>
      <c r="K31" s="27">
        <v>623</v>
      </c>
      <c r="L31" s="27">
        <v>623</v>
      </c>
      <c r="M31" s="27">
        <v>623</v>
      </c>
    </row>
    <row r="32" spans="1:13" ht="38.25" hidden="1">
      <c r="A32" s="175"/>
      <c r="B32" s="155"/>
      <c r="C32" s="110" t="s">
        <v>292</v>
      </c>
      <c r="D32" s="57">
        <f>6842-2330-270</f>
        <v>4242</v>
      </c>
      <c r="E32" s="57">
        <f>6800-2330-270</f>
        <v>4200</v>
      </c>
      <c r="F32" s="27">
        <v>477</v>
      </c>
      <c r="G32" s="57">
        <v>406</v>
      </c>
      <c r="H32" s="57">
        <v>620</v>
      </c>
      <c r="I32" s="57">
        <v>620</v>
      </c>
      <c r="J32" s="57">
        <v>620</v>
      </c>
      <c r="K32" s="57">
        <v>620</v>
      </c>
      <c r="L32" s="57">
        <v>620</v>
      </c>
      <c r="M32" s="57">
        <v>620</v>
      </c>
    </row>
    <row r="33" spans="1:13" ht="25.5" hidden="1">
      <c r="A33" s="175"/>
      <c r="B33" s="155"/>
      <c r="C33" s="105" t="s">
        <v>293</v>
      </c>
      <c r="D33" s="27">
        <v>257</v>
      </c>
      <c r="E33" s="27">
        <v>275</v>
      </c>
      <c r="F33" s="27">
        <v>275</v>
      </c>
      <c r="G33" s="27">
        <v>281</v>
      </c>
      <c r="H33" s="27">
        <v>275</v>
      </c>
      <c r="I33" s="27">
        <v>275</v>
      </c>
      <c r="J33" s="27">
        <v>275</v>
      </c>
      <c r="K33" s="27">
        <v>275</v>
      </c>
      <c r="L33" s="27">
        <v>275</v>
      </c>
      <c r="M33" s="27">
        <v>275</v>
      </c>
    </row>
    <row r="34" spans="1:13" ht="38.25" hidden="1">
      <c r="A34" s="175"/>
      <c r="B34" s="156"/>
      <c r="C34" s="105" t="s">
        <v>291</v>
      </c>
      <c r="D34" s="27">
        <v>1950</v>
      </c>
      <c r="E34" s="111">
        <v>2388</v>
      </c>
      <c r="F34" s="111">
        <v>2390</v>
      </c>
      <c r="G34" s="111">
        <v>2388</v>
      </c>
      <c r="H34" s="111">
        <v>2388</v>
      </c>
      <c r="I34" s="111">
        <v>2388</v>
      </c>
      <c r="J34" s="111">
        <v>2388</v>
      </c>
      <c r="K34" s="111">
        <v>2388</v>
      </c>
      <c r="L34" s="111">
        <v>2388</v>
      </c>
      <c r="M34" s="111">
        <v>2388</v>
      </c>
    </row>
    <row r="35" spans="1:13" ht="51">
      <c r="A35" s="159" t="s">
        <v>355</v>
      </c>
      <c r="B35" s="149" t="s">
        <v>266</v>
      </c>
      <c r="C35" s="102" t="s">
        <v>356</v>
      </c>
      <c r="D35" s="22">
        <f>D36/D37*100</f>
        <v>6.569343065693431</v>
      </c>
      <c r="E35" s="22">
        <f aca="true" t="shared" si="5" ref="E35:J35">E36/E37*100</f>
        <v>16.30170316301703</v>
      </c>
      <c r="F35" s="22">
        <f>F36/F37*100</f>
        <v>20.82018927444795</v>
      </c>
      <c r="G35" s="22">
        <f t="shared" si="5"/>
        <v>14.745762711864408</v>
      </c>
      <c r="H35" s="22">
        <f t="shared" si="5"/>
        <v>14.333333333333334</v>
      </c>
      <c r="I35" s="22">
        <f t="shared" si="5"/>
        <v>10.833333333333334</v>
      </c>
      <c r="J35" s="22">
        <f t="shared" si="5"/>
        <v>10.833333333333334</v>
      </c>
      <c r="K35" s="22">
        <f>K36/K37*100</f>
        <v>10.833333333333334</v>
      </c>
      <c r="L35" s="22">
        <f>L36/L37*100</f>
        <v>10.833333333333334</v>
      </c>
      <c r="M35" s="22">
        <f>M36/M37*100</f>
        <v>10.833333333333334</v>
      </c>
    </row>
    <row r="36" spans="1:14" ht="25.5">
      <c r="A36" s="160"/>
      <c r="B36" s="149"/>
      <c r="C36" s="104" t="s">
        <v>184</v>
      </c>
      <c r="D36" s="27">
        <v>54</v>
      </c>
      <c r="E36" s="27">
        <f>85+49</f>
        <v>134</v>
      </c>
      <c r="F36" s="27">
        <v>132</v>
      </c>
      <c r="G36" s="27">
        <v>87</v>
      </c>
      <c r="H36" s="27">
        <v>86</v>
      </c>
      <c r="I36" s="27">
        <v>65</v>
      </c>
      <c r="J36" s="27">
        <v>65</v>
      </c>
      <c r="K36" s="27">
        <v>65</v>
      </c>
      <c r="L36" s="27">
        <v>65</v>
      </c>
      <c r="M36" s="27">
        <v>65</v>
      </c>
      <c r="N36" s="112" t="s">
        <v>105</v>
      </c>
    </row>
    <row r="37" spans="1:14" ht="25.5">
      <c r="A37" s="160"/>
      <c r="B37" s="149"/>
      <c r="C37" s="104" t="s">
        <v>357</v>
      </c>
      <c r="D37" s="27" t="s">
        <v>161</v>
      </c>
      <c r="E37" s="27" t="s">
        <v>161</v>
      </c>
      <c r="F37" s="27">
        <v>634</v>
      </c>
      <c r="G37" s="27">
        <v>590</v>
      </c>
      <c r="H37" s="27">
        <v>600</v>
      </c>
      <c r="I37" s="27">
        <v>600</v>
      </c>
      <c r="J37" s="27">
        <v>600</v>
      </c>
      <c r="K37" s="27">
        <v>600</v>
      </c>
      <c r="L37" s="27">
        <v>600</v>
      </c>
      <c r="M37" s="27">
        <v>600</v>
      </c>
      <c r="N37" s="112" t="s">
        <v>105</v>
      </c>
    </row>
    <row r="38" spans="1:13" ht="25.5">
      <c r="A38" s="150" t="s">
        <v>348</v>
      </c>
      <c r="B38" s="149" t="s">
        <v>308</v>
      </c>
      <c r="C38" s="104" t="s">
        <v>87</v>
      </c>
      <c r="D38" s="21">
        <f>D39/D40</f>
        <v>35.05685007834167</v>
      </c>
      <c r="E38" s="21">
        <f aca="true" t="shared" si="6" ref="E38:J38">E39/E40</f>
        <v>41.19867196206084</v>
      </c>
      <c r="F38" s="21">
        <f t="shared" si="6"/>
        <v>35.35275452664036</v>
      </c>
      <c r="G38" s="21">
        <f t="shared" si="6"/>
        <v>36.10065270760543</v>
      </c>
      <c r="H38" s="21">
        <f t="shared" si="6"/>
        <v>36.52530528115024</v>
      </c>
      <c r="I38" s="21">
        <f t="shared" si="6"/>
        <v>37.37538404175988</v>
      </c>
      <c r="J38" s="21">
        <f t="shared" si="6"/>
        <v>37.80603096800141</v>
      </c>
      <c r="K38" s="21">
        <f>K39/K40</f>
        <v>38.193710630168674</v>
      </c>
      <c r="L38" s="21">
        <f>L39/L40</f>
        <v>38.6154090105489</v>
      </c>
      <c r="M38" s="21">
        <f>M39/M40</f>
        <v>39.071125271263284</v>
      </c>
    </row>
    <row r="39" spans="1:13" ht="25.5">
      <c r="A39" s="150"/>
      <c r="B39" s="149"/>
      <c r="C39" s="104" t="s">
        <v>280</v>
      </c>
      <c r="D39" s="88">
        <f>D21</f>
        <v>4184000</v>
      </c>
      <c r="E39" s="88" t="str">
        <f aca="true" t="shared" si="7" ref="E39:J39">E21</f>
        <v>4 917 020,3</v>
      </c>
      <c r="F39" s="88">
        <f t="shared" si="7"/>
        <v>4219315.9</v>
      </c>
      <c r="G39" s="88">
        <f t="shared" si="7"/>
        <v>4308576.8</v>
      </c>
      <c r="H39" s="88">
        <f t="shared" si="7"/>
        <v>4359258.66</v>
      </c>
      <c r="I39" s="88">
        <f t="shared" si="7"/>
        <v>4460714.71</v>
      </c>
      <c r="J39" s="88">
        <f t="shared" si="7"/>
        <v>4512111.99</v>
      </c>
      <c r="K39" s="88">
        <f>K21</f>
        <v>4558381.170000001</v>
      </c>
      <c r="L39" s="88">
        <f>L21</f>
        <v>4608710.450000001</v>
      </c>
      <c r="M39" s="88">
        <f>M21</f>
        <v>4663099.730000001</v>
      </c>
    </row>
    <row r="40" spans="1:13" ht="25.5">
      <c r="A40" s="150"/>
      <c r="B40" s="149"/>
      <c r="C40" s="102" t="s">
        <v>176</v>
      </c>
      <c r="D40" s="28">
        <v>119349</v>
      </c>
      <c r="E40" s="28">
        <v>119349</v>
      </c>
      <c r="F40" s="28">
        <v>119349</v>
      </c>
      <c r="G40" s="28">
        <v>119349</v>
      </c>
      <c r="H40" s="28">
        <v>119349</v>
      </c>
      <c r="I40" s="28">
        <v>119349</v>
      </c>
      <c r="J40" s="28">
        <v>119349</v>
      </c>
      <c r="K40" s="28">
        <v>119349</v>
      </c>
      <c r="L40" s="28">
        <v>119349</v>
      </c>
      <c r="M40" s="28">
        <v>119349</v>
      </c>
    </row>
    <row r="41" spans="1:13" ht="38.25">
      <c r="A41" s="151" t="s">
        <v>349</v>
      </c>
      <c r="B41" s="154" t="s">
        <v>265</v>
      </c>
      <c r="C41" s="101" t="s">
        <v>413</v>
      </c>
      <c r="D41" s="22">
        <f>D42/D46*10000</f>
        <v>4.338325085159714</v>
      </c>
      <c r="E41" s="22">
        <f aca="true" t="shared" si="8" ref="E41:J41">E42/E46*10000</f>
        <v>4.364482808787159</v>
      </c>
      <c r="F41" s="22">
        <f t="shared" si="8"/>
        <v>4.389768046824193</v>
      </c>
      <c r="G41" s="22">
        <f t="shared" si="8"/>
        <v>4.403490173693224</v>
      </c>
      <c r="H41" s="22">
        <f t="shared" si="8"/>
        <v>4.419467481449149</v>
      </c>
      <c r="I41" s="22">
        <f t="shared" si="8"/>
        <v>4.436046989238478</v>
      </c>
      <c r="J41" s="22">
        <f t="shared" si="8"/>
        <v>4.56395029143297</v>
      </c>
      <c r="K41" s="22">
        <f>K42/K46*10000</f>
        <v>4.58272368384728</v>
      </c>
      <c r="L41" s="22">
        <f>L42/L46*10000</f>
        <v>4.60114197017573</v>
      </c>
      <c r="M41" s="22">
        <f>M42/M46*10000</f>
        <v>4.675758419148345</v>
      </c>
    </row>
    <row r="42" spans="1:13" ht="25.5">
      <c r="A42" s="152"/>
      <c r="B42" s="155"/>
      <c r="C42" s="105" t="s">
        <v>244</v>
      </c>
      <c r="D42" s="27">
        <f>SUM(D43:D45)</f>
        <v>81</v>
      </c>
      <c r="E42" s="27">
        <f aca="true" t="shared" si="9" ref="E42:J42">SUM(E43:E45)</f>
        <v>81</v>
      </c>
      <c r="F42" s="27">
        <f t="shared" si="9"/>
        <v>81</v>
      </c>
      <c r="G42" s="27">
        <f t="shared" si="9"/>
        <v>81</v>
      </c>
      <c r="H42" s="27">
        <f t="shared" si="9"/>
        <v>81</v>
      </c>
      <c r="I42" s="27">
        <f t="shared" si="9"/>
        <v>81</v>
      </c>
      <c r="J42" s="27">
        <f t="shared" si="9"/>
        <v>83</v>
      </c>
      <c r="K42" s="27">
        <f>SUM(K43:K45)</f>
        <v>83</v>
      </c>
      <c r="L42" s="27">
        <f>SUM(L43:L45)</f>
        <v>83</v>
      </c>
      <c r="M42" s="27">
        <f>SUM(M43:M45)</f>
        <v>84</v>
      </c>
    </row>
    <row r="43" spans="1:13" ht="25.5">
      <c r="A43" s="152"/>
      <c r="B43" s="155"/>
      <c r="C43" s="113" t="s">
        <v>245</v>
      </c>
      <c r="D43" s="27">
        <v>1</v>
      </c>
      <c r="E43" s="27">
        <v>1</v>
      </c>
      <c r="F43" s="27">
        <v>1</v>
      </c>
      <c r="G43" s="27">
        <v>1</v>
      </c>
      <c r="H43" s="27">
        <v>1</v>
      </c>
      <c r="I43" s="27">
        <v>1</v>
      </c>
      <c r="J43" s="27">
        <v>2</v>
      </c>
      <c r="K43" s="27">
        <v>2</v>
      </c>
      <c r="L43" s="27">
        <v>2</v>
      </c>
      <c r="M43" s="27">
        <v>3</v>
      </c>
    </row>
    <row r="44" spans="1:13" ht="38.25">
      <c r="A44" s="152"/>
      <c r="B44" s="155"/>
      <c r="C44" s="113" t="s">
        <v>247</v>
      </c>
      <c r="D44" s="27">
        <v>12</v>
      </c>
      <c r="E44" s="27">
        <v>12</v>
      </c>
      <c r="F44" s="27">
        <v>12</v>
      </c>
      <c r="G44" s="27">
        <v>12</v>
      </c>
      <c r="H44" s="27">
        <v>12</v>
      </c>
      <c r="I44" s="27">
        <v>12</v>
      </c>
      <c r="J44" s="27">
        <v>12</v>
      </c>
      <c r="K44" s="27">
        <v>12</v>
      </c>
      <c r="L44" s="27">
        <v>12</v>
      </c>
      <c r="M44" s="27">
        <v>12</v>
      </c>
    </row>
    <row r="45" spans="1:13" ht="38.25">
      <c r="A45" s="152"/>
      <c r="B45" s="155"/>
      <c r="C45" s="113" t="s">
        <v>246</v>
      </c>
      <c r="D45" s="27">
        <v>68</v>
      </c>
      <c r="E45" s="27">
        <v>68</v>
      </c>
      <c r="F45" s="27">
        <v>68</v>
      </c>
      <c r="G45" s="27">
        <v>68</v>
      </c>
      <c r="H45" s="27">
        <v>68</v>
      </c>
      <c r="I45" s="27">
        <v>68</v>
      </c>
      <c r="J45" s="27">
        <v>69</v>
      </c>
      <c r="K45" s="27">
        <v>69</v>
      </c>
      <c r="L45" s="27">
        <v>69</v>
      </c>
      <c r="M45" s="27">
        <v>69</v>
      </c>
    </row>
    <row r="46" spans="1:13" ht="12.75">
      <c r="A46" s="174"/>
      <c r="B46" s="156"/>
      <c r="C46" s="110" t="s">
        <v>187</v>
      </c>
      <c r="D46" s="28">
        <f aca="true" t="shared" si="10" ref="D46:J46">D18</f>
        <v>186708</v>
      </c>
      <c r="E46" s="28">
        <f t="shared" si="10"/>
        <v>185589</v>
      </c>
      <c r="F46" s="28">
        <f t="shared" si="10"/>
        <v>184520</v>
      </c>
      <c r="G46" s="28">
        <f t="shared" si="10"/>
        <v>183945</v>
      </c>
      <c r="H46" s="28">
        <f t="shared" si="10"/>
        <v>183280</v>
      </c>
      <c r="I46" s="28">
        <f t="shared" si="10"/>
        <v>182595</v>
      </c>
      <c r="J46" s="28">
        <f t="shared" si="10"/>
        <v>181860</v>
      </c>
      <c r="K46" s="28">
        <f>K18</f>
        <v>181115</v>
      </c>
      <c r="L46" s="28">
        <f>L18</f>
        <v>180390</v>
      </c>
      <c r="M46" s="28">
        <f>M18</f>
        <v>179650</v>
      </c>
    </row>
    <row r="47" spans="1:13" ht="51.75" customHeight="1">
      <c r="A47" s="162" t="s">
        <v>309</v>
      </c>
      <c r="B47" s="154" t="s">
        <v>265</v>
      </c>
      <c r="C47" s="114" t="s">
        <v>251</v>
      </c>
      <c r="D47" s="100" t="s">
        <v>418</v>
      </c>
      <c r="E47" s="115">
        <f>SUM(E48:E58)</f>
        <v>2</v>
      </c>
      <c r="F47" s="115">
        <f>SUM(F48:F61)</f>
        <v>5</v>
      </c>
      <c r="G47" s="115">
        <f>F47+SUM(G48:G61)</f>
        <v>5</v>
      </c>
      <c r="H47" s="115">
        <v>5</v>
      </c>
      <c r="I47" s="115">
        <v>6</v>
      </c>
      <c r="J47" s="115">
        <v>9</v>
      </c>
      <c r="K47" s="115">
        <v>12</v>
      </c>
      <c r="L47" s="115">
        <v>14</v>
      </c>
      <c r="M47" s="115">
        <v>15</v>
      </c>
    </row>
    <row r="48" spans="1:13" ht="25.5" hidden="1">
      <c r="A48" s="163"/>
      <c r="B48" s="155"/>
      <c r="C48" s="116" t="s">
        <v>195</v>
      </c>
      <c r="D48" s="117" t="s">
        <v>95</v>
      </c>
      <c r="E48" s="115"/>
      <c r="F48" s="115"/>
      <c r="G48" s="115"/>
      <c r="H48" s="115"/>
      <c r="I48" s="115">
        <v>1</v>
      </c>
      <c r="J48" s="115"/>
      <c r="K48" s="115"/>
      <c r="L48" s="115"/>
      <c r="M48" s="115"/>
    </row>
    <row r="49" spans="1:13" ht="25.5" hidden="1">
      <c r="A49" s="163"/>
      <c r="B49" s="155"/>
      <c r="C49" s="116" t="s">
        <v>407</v>
      </c>
      <c r="D49" s="117" t="s">
        <v>95</v>
      </c>
      <c r="E49" s="115"/>
      <c r="F49" s="115">
        <v>1</v>
      </c>
      <c r="G49" s="115"/>
      <c r="H49" s="115">
        <v>1</v>
      </c>
      <c r="I49" s="115"/>
      <c r="J49" s="115"/>
      <c r="K49" s="115"/>
      <c r="L49" s="115"/>
      <c r="M49" s="115"/>
    </row>
    <row r="50" spans="1:13" ht="25.5" hidden="1">
      <c r="A50" s="163"/>
      <c r="B50" s="155"/>
      <c r="C50" s="116" t="s">
        <v>196</v>
      </c>
      <c r="D50" s="117" t="s">
        <v>95</v>
      </c>
      <c r="E50" s="115">
        <v>1</v>
      </c>
      <c r="F50" s="115">
        <v>1</v>
      </c>
      <c r="G50" s="115"/>
      <c r="H50" s="115"/>
      <c r="I50" s="115"/>
      <c r="J50" s="115">
        <v>1</v>
      </c>
      <c r="K50" s="115">
        <v>1</v>
      </c>
      <c r="L50" s="115">
        <v>1</v>
      </c>
      <c r="M50" s="115">
        <v>1</v>
      </c>
    </row>
    <row r="51" spans="1:13" ht="38.25" hidden="1">
      <c r="A51" s="163"/>
      <c r="B51" s="155"/>
      <c r="C51" s="116" t="s">
        <v>197</v>
      </c>
      <c r="D51" s="117" t="s">
        <v>95</v>
      </c>
      <c r="E51" s="115"/>
      <c r="F51" s="115"/>
      <c r="G51" s="115"/>
      <c r="H51" s="115"/>
      <c r="I51" s="115"/>
      <c r="J51" s="115">
        <v>1</v>
      </c>
      <c r="K51" s="115">
        <v>1</v>
      </c>
      <c r="L51" s="115">
        <v>1</v>
      </c>
      <c r="M51" s="115">
        <v>1</v>
      </c>
    </row>
    <row r="52" spans="1:13" ht="38.25" hidden="1">
      <c r="A52" s="163"/>
      <c r="B52" s="155"/>
      <c r="C52" s="116" t="s">
        <v>198</v>
      </c>
      <c r="D52" s="117" t="s">
        <v>95</v>
      </c>
      <c r="E52" s="115">
        <v>1</v>
      </c>
      <c r="F52" s="115">
        <v>1</v>
      </c>
      <c r="G52" s="115"/>
      <c r="H52" s="115"/>
      <c r="I52" s="115"/>
      <c r="J52" s="115"/>
      <c r="K52" s="115"/>
      <c r="L52" s="115"/>
      <c r="M52" s="115"/>
    </row>
    <row r="53" spans="1:13" ht="38.25" hidden="1">
      <c r="A53" s="163"/>
      <c r="B53" s="155"/>
      <c r="C53" s="116" t="s">
        <v>199</v>
      </c>
      <c r="D53" s="117" t="s">
        <v>95</v>
      </c>
      <c r="E53" s="115"/>
      <c r="F53" s="115"/>
      <c r="G53" s="115"/>
      <c r="H53" s="115"/>
      <c r="I53" s="115"/>
      <c r="J53" s="115"/>
      <c r="K53" s="115"/>
      <c r="L53" s="115"/>
      <c r="M53" s="115"/>
    </row>
    <row r="54" spans="1:13" ht="25.5" hidden="1">
      <c r="A54" s="163"/>
      <c r="B54" s="155"/>
      <c r="C54" s="116" t="s">
        <v>200</v>
      </c>
      <c r="D54" s="117" t="s">
        <v>95</v>
      </c>
      <c r="E54" s="115"/>
      <c r="F54" s="115"/>
      <c r="G54" s="115"/>
      <c r="H54" s="115"/>
      <c r="I54" s="115"/>
      <c r="J54" s="115"/>
      <c r="K54" s="115"/>
      <c r="L54" s="115"/>
      <c r="M54" s="115"/>
    </row>
    <row r="55" spans="1:13" ht="38.25" hidden="1">
      <c r="A55" s="163"/>
      <c r="B55" s="155"/>
      <c r="C55" s="116" t="s">
        <v>201</v>
      </c>
      <c r="D55" s="117" t="s">
        <v>95</v>
      </c>
      <c r="E55" s="115"/>
      <c r="F55" s="115">
        <v>1</v>
      </c>
      <c r="G55" s="115"/>
      <c r="H55" s="115"/>
      <c r="I55" s="115"/>
      <c r="J55" s="115"/>
      <c r="K55" s="115"/>
      <c r="L55" s="115"/>
      <c r="M55" s="115"/>
    </row>
    <row r="56" spans="1:13" ht="51" hidden="1">
      <c r="A56" s="163"/>
      <c r="B56" s="155"/>
      <c r="C56" s="116" t="s">
        <v>202</v>
      </c>
      <c r="D56" s="117" t="s">
        <v>95</v>
      </c>
      <c r="E56" s="115"/>
      <c r="F56" s="115">
        <v>1</v>
      </c>
      <c r="G56" s="115"/>
      <c r="H56" s="115"/>
      <c r="I56" s="115"/>
      <c r="J56" s="115"/>
      <c r="K56" s="115"/>
      <c r="L56" s="115"/>
      <c r="M56" s="115"/>
    </row>
    <row r="57" spans="1:13" ht="38.25" hidden="1">
      <c r="A57" s="163"/>
      <c r="B57" s="155"/>
      <c r="C57" s="116" t="s">
        <v>203</v>
      </c>
      <c r="D57" s="117" t="s">
        <v>95</v>
      </c>
      <c r="E57" s="115"/>
      <c r="F57" s="115"/>
      <c r="G57" s="115"/>
      <c r="H57" s="115"/>
      <c r="I57" s="115"/>
      <c r="J57" s="115"/>
      <c r="K57" s="115"/>
      <c r="L57" s="115"/>
      <c r="M57" s="115"/>
    </row>
    <row r="58" spans="1:13" ht="25.5" hidden="1">
      <c r="A58" s="163"/>
      <c r="B58" s="155"/>
      <c r="C58" s="116" t="s">
        <v>408</v>
      </c>
      <c r="D58" s="117"/>
      <c r="E58" s="100"/>
      <c r="F58" s="100"/>
      <c r="G58" s="100"/>
      <c r="H58" s="100"/>
      <c r="I58" s="100"/>
      <c r="J58" s="100">
        <v>1</v>
      </c>
      <c r="K58" s="100">
        <v>1</v>
      </c>
      <c r="L58" s="100">
        <v>1</v>
      </c>
      <c r="M58" s="100">
        <v>1</v>
      </c>
    </row>
    <row r="59" spans="1:13" ht="25.5" hidden="1">
      <c r="A59" s="163"/>
      <c r="B59" s="155"/>
      <c r="C59" s="116" t="s">
        <v>237</v>
      </c>
      <c r="D59" s="117"/>
      <c r="E59" s="100"/>
      <c r="F59" s="100"/>
      <c r="G59" s="100"/>
      <c r="H59" s="100">
        <v>1</v>
      </c>
      <c r="I59" s="100"/>
      <c r="J59" s="100"/>
      <c r="K59" s="100"/>
      <c r="L59" s="100"/>
      <c r="M59" s="100"/>
    </row>
    <row r="60" spans="1:13" ht="38.25" hidden="1">
      <c r="A60" s="163"/>
      <c r="B60" s="155"/>
      <c r="C60" s="116" t="s">
        <v>238</v>
      </c>
      <c r="D60" s="117"/>
      <c r="E60" s="100"/>
      <c r="F60" s="100"/>
      <c r="G60" s="100"/>
      <c r="H60" s="100">
        <v>1</v>
      </c>
      <c r="I60" s="100"/>
      <c r="J60" s="100"/>
      <c r="K60" s="100"/>
      <c r="L60" s="100"/>
      <c r="M60" s="100"/>
    </row>
    <row r="61" spans="1:13" ht="51" hidden="1">
      <c r="A61" s="163"/>
      <c r="B61" s="155"/>
      <c r="C61" s="116" t="s">
        <v>410</v>
      </c>
      <c r="D61" s="117"/>
      <c r="E61" s="100"/>
      <c r="F61" s="100"/>
      <c r="G61" s="100"/>
      <c r="H61" s="100"/>
      <c r="I61" s="100"/>
      <c r="J61" s="100">
        <v>1</v>
      </c>
      <c r="K61" s="100">
        <v>1</v>
      </c>
      <c r="L61" s="100">
        <v>1</v>
      </c>
      <c r="M61" s="100">
        <v>1</v>
      </c>
    </row>
    <row r="62" spans="1:13" ht="15.75">
      <c r="A62" s="158" t="s">
        <v>56</v>
      </c>
      <c r="B62" s="158"/>
      <c r="C62" s="158"/>
      <c r="D62" s="158"/>
      <c r="E62" s="158"/>
      <c r="F62" s="158"/>
      <c r="G62" s="158"/>
      <c r="H62" s="158"/>
      <c r="I62" s="158"/>
      <c r="J62" s="158"/>
      <c r="K62" s="118"/>
      <c r="L62" s="118"/>
      <c r="M62" s="118"/>
    </row>
    <row r="63" spans="1:13" ht="63.75">
      <c r="A63" s="150" t="s">
        <v>301</v>
      </c>
      <c r="B63" s="157" t="s">
        <v>165</v>
      </c>
      <c r="C63" s="102" t="s">
        <v>358</v>
      </c>
      <c r="D63" s="22">
        <f>D64/D65</f>
        <v>0.054857852903999825</v>
      </c>
      <c r="E63" s="22">
        <f aca="true" t="shared" si="11" ref="E63:J63">E64/E65</f>
        <v>0.07269288589302168</v>
      </c>
      <c r="F63" s="22">
        <f t="shared" si="11"/>
        <v>0.11160470409711684</v>
      </c>
      <c r="G63" s="22">
        <f t="shared" si="11"/>
        <v>0.021763570632526028</v>
      </c>
      <c r="H63" s="22">
        <f t="shared" si="11"/>
        <v>0.022239742470536884</v>
      </c>
      <c r="I63" s="22">
        <f t="shared" si="11"/>
        <v>0.032859607327692435</v>
      </c>
      <c r="J63" s="22">
        <f t="shared" si="11"/>
        <v>0.021994941163532386</v>
      </c>
      <c r="K63" s="22">
        <f>K64/K65</f>
        <v>0.011042707671921155</v>
      </c>
      <c r="L63" s="22">
        <f>L64/L65</f>
        <v>0.016630633627141195</v>
      </c>
      <c r="M63" s="22">
        <f>M64/M65</f>
        <v>0.016699137211244084</v>
      </c>
    </row>
    <row r="64" spans="1:14" ht="51">
      <c r="A64" s="150"/>
      <c r="B64" s="157"/>
      <c r="C64" s="110" t="s">
        <v>359</v>
      </c>
      <c r="D64" s="21">
        <v>10242.4</v>
      </c>
      <c r="E64" s="119">
        <v>13491</v>
      </c>
      <c r="F64" s="119">
        <f>'[1]прил_4'!K50</f>
        <v>20593.3</v>
      </c>
      <c r="G64" s="119">
        <f>прил_4!L51</f>
        <v>4003.3</v>
      </c>
      <c r="H64" s="119">
        <f>прил_4!M51</f>
        <v>4076.1</v>
      </c>
      <c r="I64" s="119">
        <f>прил_4!N51</f>
        <v>6000</v>
      </c>
      <c r="J64" s="119">
        <f>прил_4!O51</f>
        <v>4000</v>
      </c>
      <c r="K64" s="119">
        <f>прил_4!P51</f>
        <v>2000</v>
      </c>
      <c r="L64" s="119">
        <f>прил_4!Q51</f>
        <v>3000</v>
      </c>
      <c r="M64" s="119">
        <f>прил_4!R51</f>
        <v>3000</v>
      </c>
      <c r="N64" s="112" t="s">
        <v>211</v>
      </c>
    </row>
    <row r="65" spans="1:14" ht="12.75">
      <c r="A65" s="150"/>
      <c r="B65" s="157"/>
      <c r="C65" s="102" t="s">
        <v>157</v>
      </c>
      <c r="D65" s="28">
        <v>186708</v>
      </c>
      <c r="E65" s="28">
        <v>185589</v>
      </c>
      <c r="F65" s="28">
        <v>184520</v>
      </c>
      <c r="G65" s="28">
        <f aca="true" t="shared" si="12" ref="G65:M65">G18</f>
        <v>183945</v>
      </c>
      <c r="H65" s="28">
        <f t="shared" si="12"/>
        <v>183280</v>
      </c>
      <c r="I65" s="28">
        <f t="shared" si="12"/>
        <v>182595</v>
      </c>
      <c r="J65" s="28">
        <f t="shared" si="12"/>
        <v>181860</v>
      </c>
      <c r="K65" s="28">
        <f t="shared" si="12"/>
        <v>181115</v>
      </c>
      <c r="L65" s="28">
        <f t="shared" si="12"/>
        <v>180390</v>
      </c>
      <c r="M65" s="28">
        <f t="shared" si="12"/>
        <v>179650</v>
      </c>
      <c r="N65" s="112" t="s">
        <v>213</v>
      </c>
    </row>
    <row r="66" spans="1:13" ht="51">
      <c r="A66" s="150" t="s">
        <v>391</v>
      </c>
      <c r="B66" s="149" t="s">
        <v>266</v>
      </c>
      <c r="C66" s="102" t="s">
        <v>302</v>
      </c>
      <c r="D66" s="111">
        <f>D67/D68*100</f>
        <v>33.76986482030993</v>
      </c>
      <c r="E66" s="111">
        <f aca="true" t="shared" si="13" ref="E66:J66">E67/E68*100</f>
        <v>36.42967083412092</v>
      </c>
      <c r="F66" s="111">
        <f t="shared" si="13"/>
        <v>45.93857842995099</v>
      </c>
      <c r="G66" s="111">
        <f>G67/G68*100</f>
        <v>6.8300547660075415</v>
      </c>
      <c r="H66" s="111">
        <f t="shared" si="13"/>
        <v>5.939542305086228</v>
      </c>
      <c r="I66" s="111">
        <f t="shared" si="13"/>
        <v>6.860435866358709</v>
      </c>
      <c r="J66" s="111">
        <f t="shared" si="13"/>
        <v>6.931688212664194</v>
      </c>
      <c r="K66" s="111">
        <f>K67/K68*100</f>
        <v>3.8038795767803584</v>
      </c>
      <c r="L66" s="111">
        <f>L67/L68*100</f>
        <v>5.296797203291077</v>
      </c>
      <c r="M66" s="111">
        <f>M67/M68*100</f>
        <v>4.9425022241260015</v>
      </c>
    </row>
    <row r="67" spans="1:14" ht="38.25">
      <c r="A67" s="150"/>
      <c r="B67" s="149"/>
      <c r="C67" s="110" t="s">
        <v>360</v>
      </c>
      <c r="D67" s="21">
        <v>10242.4</v>
      </c>
      <c r="E67" s="119">
        <v>13491</v>
      </c>
      <c r="F67" s="119">
        <f>F64</f>
        <v>20593.3</v>
      </c>
      <c r="G67" s="119">
        <f>прил_4!L51</f>
        <v>4003.3</v>
      </c>
      <c r="H67" s="119">
        <f>прил_4!M51</f>
        <v>4076.1</v>
      </c>
      <c r="I67" s="119">
        <f>прил_4!N51</f>
        <v>6000</v>
      </c>
      <c r="J67" s="119">
        <f>прил_4!O51</f>
        <v>4000</v>
      </c>
      <c r="K67" s="119">
        <f>прил_4!P51</f>
        <v>2000</v>
      </c>
      <c r="L67" s="119">
        <f>прил_4!Q51</f>
        <v>3000</v>
      </c>
      <c r="M67" s="119">
        <f>прил_4!R51</f>
        <v>3000</v>
      </c>
      <c r="N67" s="95" t="s">
        <v>215</v>
      </c>
    </row>
    <row r="68" spans="1:14" ht="25.5">
      <c r="A68" s="150"/>
      <c r="B68" s="149"/>
      <c r="C68" s="102" t="s">
        <v>156</v>
      </c>
      <c r="D68" s="21">
        <v>30330</v>
      </c>
      <c r="E68" s="37">
        <v>37033</v>
      </c>
      <c r="F68" s="37">
        <f aca="true" t="shared" si="14" ref="F68:M68">F15</f>
        <v>44827.9</v>
      </c>
      <c r="G68" s="37">
        <f t="shared" si="14"/>
        <v>58613</v>
      </c>
      <c r="H68" s="37">
        <f t="shared" si="14"/>
        <v>68626.5</v>
      </c>
      <c r="I68" s="37">
        <f t="shared" si="14"/>
        <v>87458</v>
      </c>
      <c r="J68" s="37">
        <f t="shared" si="14"/>
        <v>57706</v>
      </c>
      <c r="K68" s="37">
        <f t="shared" si="14"/>
        <v>52577.9</v>
      </c>
      <c r="L68" s="37">
        <f t="shared" si="14"/>
        <v>56638</v>
      </c>
      <c r="M68" s="37">
        <f t="shared" si="14"/>
        <v>60698</v>
      </c>
      <c r="N68" s="112" t="s">
        <v>213</v>
      </c>
    </row>
    <row r="69" spans="1:14" ht="51">
      <c r="A69" s="151" t="s">
        <v>82</v>
      </c>
      <c r="B69" s="154" t="s">
        <v>266</v>
      </c>
      <c r="C69" s="102" t="s">
        <v>83</v>
      </c>
      <c r="D69" s="25">
        <f>D70/D71*100</f>
        <v>0.8851139158631138</v>
      </c>
      <c r="E69" s="25">
        <f aca="true" t="shared" si="15" ref="E69:J69">E70/E71*100</f>
        <v>9.801560802198907</v>
      </c>
      <c r="F69" s="25">
        <f t="shared" si="15"/>
        <v>3.4822028076521523</v>
      </c>
      <c r="G69" s="25">
        <f t="shared" si="15"/>
        <v>0.20311180608310694</v>
      </c>
      <c r="H69" s="25">
        <f t="shared" si="15"/>
        <v>0.986983655432845</v>
      </c>
      <c r="I69" s="25">
        <f t="shared" si="15"/>
        <v>1.948747861513056</v>
      </c>
      <c r="J69" s="25">
        <f t="shared" si="15"/>
        <v>2.8312473051448523</v>
      </c>
      <c r="K69" s="25">
        <f>K70/K71*100</f>
        <v>5.206063291526453</v>
      </c>
      <c r="L69" s="25">
        <f>L70/L71*100</f>
        <v>3.040186970909976</v>
      </c>
      <c r="M69" s="25">
        <f>M70/M71*100</f>
        <v>1.3397855867465136</v>
      </c>
      <c r="N69" s="98"/>
    </row>
    <row r="70" spans="1:14" ht="38.25">
      <c r="A70" s="152"/>
      <c r="B70" s="155"/>
      <c r="C70" s="105" t="s">
        <v>328</v>
      </c>
      <c r="D70" s="25">
        <v>624</v>
      </c>
      <c r="E70" s="24">
        <v>5944.48</v>
      </c>
      <c r="F70" s="19">
        <v>3588.8</v>
      </c>
      <c r="G70" s="37">
        <v>206.14</v>
      </c>
      <c r="H70" s="37">
        <v>891.31</v>
      </c>
      <c r="I70" s="37">
        <v>1928.37</v>
      </c>
      <c r="J70" s="37">
        <v>2821.55</v>
      </c>
      <c r="K70" s="37">
        <v>5224.84</v>
      </c>
      <c r="L70" s="37">
        <v>3072.53</v>
      </c>
      <c r="M70" s="37">
        <v>1363.46</v>
      </c>
      <c r="N70" s="98"/>
    </row>
    <row r="71" spans="1:14" ht="25.5">
      <c r="A71" s="153"/>
      <c r="B71" s="170"/>
      <c r="C71" s="105" t="s">
        <v>85</v>
      </c>
      <c r="D71" s="27" t="s">
        <v>159</v>
      </c>
      <c r="E71" s="27">
        <v>60648.3</v>
      </c>
      <c r="F71" s="27">
        <f aca="true" t="shared" si="16" ref="F71:M71">F20</f>
        <v>103061.2</v>
      </c>
      <c r="G71" s="27">
        <f t="shared" si="16"/>
        <v>101490.9</v>
      </c>
      <c r="H71" s="27">
        <f t="shared" si="16"/>
        <v>90306.45999999999</v>
      </c>
      <c r="I71" s="27">
        <f t="shared" si="16"/>
        <v>98954.30999999998</v>
      </c>
      <c r="J71" s="27">
        <f t="shared" si="16"/>
        <v>99657.48999999998</v>
      </c>
      <c r="K71" s="27">
        <f t="shared" si="16"/>
        <v>100360.66999999997</v>
      </c>
      <c r="L71" s="27">
        <f t="shared" si="16"/>
        <v>101063.84999999996</v>
      </c>
      <c r="M71" s="27">
        <f t="shared" si="16"/>
        <v>101767.02999999996</v>
      </c>
      <c r="N71" s="98"/>
    </row>
    <row r="72" spans="1:14" ht="63.75">
      <c r="A72" s="151" t="s">
        <v>106</v>
      </c>
      <c r="B72" s="154" t="s">
        <v>266</v>
      </c>
      <c r="C72" s="104" t="s">
        <v>341</v>
      </c>
      <c r="D72" s="88">
        <f>D73/D74*100</f>
        <v>9.382847688206637</v>
      </c>
      <c r="E72" s="88">
        <f aca="true" t="shared" si="17" ref="E72:J72">E73/E74*100</f>
        <v>23.39049544994944</v>
      </c>
      <c r="F72" s="88">
        <f t="shared" si="17"/>
        <v>29.5534060506277</v>
      </c>
      <c r="G72" s="88">
        <f t="shared" si="17"/>
        <v>2.0066445182724255</v>
      </c>
      <c r="H72" s="88">
        <f t="shared" si="17"/>
        <v>5.947368421052632</v>
      </c>
      <c r="I72" s="88">
        <f t="shared" si="17"/>
        <v>11.607142857142858</v>
      </c>
      <c r="J72" s="88">
        <f t="shared" si="17"/>
        <v>14.181818181818182</v>
      </c>
      <c r="K72" s="88">
        <f>K73/K74*100</f>
        <v>14.925925925925926</v>
      </c>
      <c r="L72" s="88">
        <f>L73/L74*100</f>
        <v>15.69811320754717</v>
      </c>
      <c r="M72" s="88">
        <f>M73/M74*100</f>
        <v>16.5</v>
      </c>
      <c r="N72" s="98"/>
    </row>
    <row r="73" spans="1:14" ht="25.5">
      <c r="A73" s="152"/>
      <c r="B73" s="155"/>
      <c r="C73" s="120" t="s">
        <v>327</v>
      </c>
      <c r="D73" s="111">
        <v>507</v>
      </c>
      <c r="E73" s="111">
        <v>1149</v>
      </c>
      <c r="F73" s="111">
        <v>1436</v>
      </c>
      <c r="G73" s="111">
        <v>115</v>
      </c>
      <c r="H73" s="111">
        <v>339</v>
      </c>
      <c r="I73" s="111">
        <f>250*2.6</f>
        <v>650</v>
      </c>
      <c r="J73" s="111">
        <f>300*2.6</f>
        <v>780</v>
      </c>
      <c r="K73" s="111">
        <f>310*2.6</f>
        <v>806</v>
      </c>
      <c r="L73" s="111">
        <f>320*2.6</f>
        <v>832</v>
      </c>
      <c r="M73" s="111">
        <f>330*2.6</f>
        <v>858</v>
      </c>
      <c r="N73" s="98"/>
    </row>
    <row r="74" spans="1:14" ht="38.25">
      <c r="A74" s="153"/>
      <c r="B74" s="156"/>
      <c r="C74" s="110" t="s">
        <v>281</v>
      </c>
      <c r="D74" s="121">
        <f>165*(4945/151)</f>
        <v>5403.476821192053</v>
      </c>
      <c r="E74" s="121">
        <f>150*(4945/151)</f>
        <v>4912.251655629139</v>
      </c>
      <c r="F74" s="121">
        <v>4859</v>
      </c>
      <c r="G74" s="121">
        <f>175*(4945/151)</f>
        <v>5730.960264900662</v>
      </c>
      <c r="H74" s="121">
        <v>5700</v>
      </c>
      <c r="I74" s="121">
        <v>5600</v>
      </c>
      <c r="J74" s="121">
        <v>5500</v>
      </c>
      <c r="K74" s="121">
        <v>5400</v>
      </c>
      <c r="L74" s="121">
        <v>5300</v>
      </c>
      <c r="M74" s="121">
        <v>5200</v>
      </c>
      <c r="N74" s="98"/>
    </row>
    <row r="75" spans="1:13" ht="15.75">
      <c r="A75" s="158" t="s">
        <v>50</v>
      </c>
      <c r="B75" s="158"/>
      <c r="C75" s="158"/>
      <c r="D75" s="158"/>
      <c r="E75" s="158"/>
      <c r="F75" s="158"/>
      <c r="G75" s="158"/>
      <c r="H75" s="158"/>
      <c r="I75" s="158"/>
      <c r="J75" s="158"/>
      <c r="K75" s="118"/>
      <c r="L75" s="118"/>
      <c r="M75" s="118"/>
    </row>
    <row r="76" spans="1:14" ht="38.25">
      <c r="A76" s="150" t="s">
        <v>311</v>
      </c>
      <c r="B76" s="149" t="s">
        <v>416</v>
      </c>
      <c r="C76" s="102" t="s">
        <v>94</v>
      </c>
      <c r="D76" s="22">
        <f>(D77+D78)/D79*100</f>
        <v>0.8704125261451359</v>
      </c>
      <c r="E76" s="22">
        <f aca="true" t="shared" si="18" ref="E76:J76">(E77+E78)/E79*100</f>
        <v>0.8708312683225953</v>
      </c>
      <c r="F76" s="22">
        <f t="shared" si="18"/>
        <v>1.148730765352537</v>
      </c>
      <c r="G76" s="22">
        <f t="shared" si="18"/>
        <v>1.9657097774670267</v>
      </c>
      <c r="H76" s="22">
        <f t="shared" si="18"/>
        <v>1.9657097774670267</v>
      </c>
      <c r="I76" s="22">
        <f t="shared" si="18"/>
        <v>1.9767904413760855</v>
      </c>
      <c r="J76" s="22">
        <f t="shared" si="18"/>
        <v>1.9915662850855373</v>
      </c>
      <c r="K76" s="22">
        <f>(K77+K78)/K79*100</f>
        <v>1.9915662850855373</v>
      </c>
      <c r="L76" s="22">
        <f>(L77+L78)/L79*100</f>
        <v>1.9915662850855373</v>
      </c>
      <c r="M76" s="22">
        <f>(M77+M78)/M79*100</f>
        <v>1.9915662850855373</v>
      </c>
      <c r="N76" s="98"/>
    </row>
    <row r="77" spans="1:14" ht="12.75">
      <c r="A77" s="150"/>
      <c r="B77" s="160"/>
      <c r="C77" s="102" t="s">
        <v>166</v>
      </c>
      <c r="D77" s="21">
        <v>98.22</v>
      </c>
      <c r="E77" s="21">
        <f>D77+D78</f>
        <v>103.62</v>
      </c>
      <c r="F77" s="21">
        <f>E77+E78</f>
        <v>103.66985000000001</v>
      </c>
      <c r="G77" s="21">
        <v>177.4</v>
      </c>
      <c r="H77" s="21">
        <v>177.4</v>
      </c>
      <c r="I77" s="21">
        <v>178.4</v>
      </c>
      <c r="J77" s="21">
        <f>178.4+I78</f>
        <v>178.4</v>
      </c>
      <c r="K77" s="21">
        <f>178.4+J78</f>
        <v>179.73348000000001</v>
      </c>
      <c r="L77" s="21">
        <f>K77</f>
        <v>179.73348000000001</v>
      </c>
      <c r="M77" s="21">
        <f>L77</f>
        <v>179.73348000000001</v>
      </c>
      <c r="N77" s="98"/>
    </row>
    <row r="78" spans="1:14" ht="12.75">
      <c r="A78" s="150"/>
      <c r="B78" s="160"/>
      <c r="C78" s="102" t="s">
        <v>167</v>
      </c>
      <c r="D78" s="27">
        <v>5.4</v>
      </c>
      <c r="E78" s="27">
        <v>0.04985</v>
      </c>
      <c r="F78" s="27">
        <v>0</v>
      </c>
      <c r="G78" s="27">
        <v>0</v>
      </c>
      <c r="H78" s="27">
        <v>0</v>
      </c>
      <c r="I78" s="27">
        <v>0</v>
      </c>
      <c r="J78" s="27">
        <f>0.0784+0.94071+0.31437</f>
        <v>1.33348</v>
      </c>
      <c r="K78" s="27"/>
      <c r="L78" s="27"/>
      <c r="M78" s="27"/>
      <c r="N78" s="98"/>
    </row>
    <row r="79" spans="1:14" ht="12.75">
      <c r="A79" s="150"/>
      <c r="B79" s="160"/>
      <c r="C79" s="110" t="s">
        <v>417</v>
      </c>
      <c r="D79" s="27">
        <v>11904.7</v>
      </c>
      <c r="E79" s="27">
        <v>11904.7</v>
      </c>
      <c r="F79" s="27">
        <v>9024.73</v>
      </c>
      <c r="G79" s="27">
        <v>9024.73</v>
      </c>
      <c r="H79" s="27">
        <v>9024.73</v>
      </c>
      <c r="I79" s="27">
        <v>9024.73</v>
      </c>
      <c r="J79" s="27">
        <v>9024.73</v>
      </c>
      <c r="K79" s="27">
        <v>9024.73</v>
      </c>
      <c r="L79" s="27">
        <v>9024.73</v>
      </c>
      <c r="M79" s="27">
        <v>9024.73</v>
      </c>
      <c r="N79" s="98"/>
    </row>
    <row r="80" spans="1:13" ht="51">
      <c r="A80" s="150" t="s">
        <v>168</v>
      </c>
      <c r="B80" s="149" t="s">
        <v>416</v>
      </c>
      <c r="C80" s="102" t="s">
        <v>192</v>
      </c>
      <c r="D80" s="40">
        <f>D81/D82*100</f>
        <v>0.5247844556720208</v>
      </c>
      <c r="E80" s="40">
        <f aca="true" t="shared" si="19" ref="E80:J80">E81/E82*100</f>
        <v>0.547893153692113</v>
      </c>
      <c r="F80" s="40">
        <f t="shared" si="19"/>
        <v>0.5502710538001995</v>
      </c>
      <c r="G80" s="40">
        <f t="shared" si="19"/>
        <v>0.5568693495546675</v>
      </c>
      <c r="H80" s="40">
        <f t="shared" si="19"/>
        <v>0.561814510385508</v>
      </c>
      <c r="I80" s="40">
        <f t="shared" si="19"/>
        <v>0.561814510385508</v>
      </c>
      <c r="J80" s="40">
        <f t="shared" si="19"/>
        <v>0.561814510385508</v>
      </c>
      <c r="K80" s="40">
        <f>K81/K82*100</f>
        <v>0.5659201166327326</v>
      </c>
      <c r="L80" s="40">
        <f>L81/L82*100</f>
        <v>0.5683499652280287</v>
      </c>
      <c r="M80" s="40">
        <f>M81/M82*100</f>
        <v>0.5683499652280287</v>
      </c>
    </row>
    <row r="81" spans="1:14" ht="25.5">
      <c r="A81" s="150"/>
      <c r="B81" s="149"/>
      <c r="C81" s="104" t="s">
        <v>169</v>
      </c>
      <c r="D81" s="27" t="s">
        <v>170</v>
      </c>
      <c r="E81" s="27">
        <v>653.905</v>
      </c>
      <c r="F81" s="27">
        <v>656.743</v>
      </c>
      <c r="G81" s="27">
        <v>664.618</v>
      </c>
      <c r="H81" s="27">
        <v>670.52</v>
      </c>
      <c r="I81" s="27">
        <v>670.52</v>
      </c>
      <c r="J81" s="27">
        <v>670.52</v>
      </c>
      <c r="K81" s="27">
        <f>670.52+3+1.9</f>
        <v>675.42</v>
      </c>
      <c r="L81" s="27">
        <f>K81+2.9</f>
        <v>678.3199999999999</v>
      </c>
      <c r="M81" s="27">
        <f>L81</f>
        <v>678.3199999999999</v>
      </c>
      <c r="N81" s="95" t="s">
        <v>217</v>
      </c>
    </row>
    <row r="82" spans="1:13" ht="25.5">
      <c r="A82" s="150"/>
      <c r="B82" s="149"/>
      <c r="C82" s="102" t="s">
        <v>176</v>
      </c>
      <c r="D82" s="28">
        <v>119349</v>
      </c>
      <c r="E82" s="28">
        <v>119349</v>
      </c>
      <c r="F82" s="28">
        <v>119349</v>
      </c>
      <c r="G82" s="28">
        <v>119349</v>
      </c>
      <c r="H82" s="28">
        <v>119349</v>
      </c>
      <c r="I82" s="28">
        <v>119349</v>
      </c>
      <c r="J82" s="28">
        <v>119349</v>
      </c>
      <c r="K82" s="28">
        <v>119349</v>
      </c>
      <c r="L82" s="28">
        <v>119349</v>
      </c>
      <c r="M82" s="28">
        <v>119349</v>
      </c>
    </row>
    <row r="83" spans="1:13" ht="51">
      <c r="A83" s="171" t="s">
        <v>282</v>
      </c>
      <c r="B83" s="154" t="s">
        <v>266</v>
      </c>
      <c r="C83" s="102" t="s">
        <v>278</v>
      </c>
      <c r="D83" s="122">
        <f aca="true" t="shared" si="20" ref="D83:J83">D84/D87*100</f>
        <v>116.45907119264594</v>
      </c>
      <c r="E83" s="122">
        <f t="shared" si="20"/>
        <v>111.23724711841882</v>
      </c>
      <c r="F83" s="122">
        <f t="shared" si="20"/>
        <v>112.00588884799411</v>
      </c>
      <c r="G83" s="122">
        <f t="shared" si="20"/>
        <v>112.95221632300283</v>
      </c>
      <c r="H83" s="122">
        <f t="shared" si="20"/>
        <v>114.29285232468085</v>
      </c>
      <c r="I83" s="122">
        <f t="shared" si="20"/>
        <v>116.53807959666946</v>
      </c>
      <c r="J83" s="122">
        <f t="shared" si="20"/>
        <v>118.81928398971935</v>
      </c>
      <c r="K83" s="122">
        <f>K84/K87*100</f>
        <v>118.81928398971935</v>
      </c>
      <c r="L83" s="122">
        <f>L84/L87*100</f>
        <v>118.81928398971935</v>
      </c>
      <c r="M83" s="122">
        <f>M84/M87*100</f>
        <v>118.81928398971935</v>
      </c>
    </row>
    <row r="84" spans="1:13" ht="25.5">
      <c r="A84" s="172"/>
      <c r="B84" s="165"/>
      <c r="C84" s="123" t="s">
        <v>314</v>
      </c>
      <c r="D84" s="100">
        <f aca="true" t="shared" si="21" ref="D84:J84">D85+D86</f>
        <v>11706</v>
      </c>
      <c r="E84" s="100">
        <f t="shared" si="21"/>
        <v>11342</v>
      </c>
      <c r="F84" s="100">
        <f t="shared" si="21"/>
        <v>11412</v>
      </c>
      <c r="G84" s="100">
        <f t="shared" si="21"/>
        <v>11435</v>
      </c>
      <c r="H84" s="100">
        <f t="shared" si="21"/>
        <v>11437</v>
      </c>
      <c r="I84" s="100">
        <f t="shared" si="21"/>
        <v>11442</v>
      </c>
      <c r="J84" s="100">
        <f t="shared" si="21"/>
        <v>11442</v>
      </c>
      <c r="K84" s="100">
        <f>K85+K86</f>
        <v>11442</v>
      </c>
      <c r="L84" s="100">
        <f>L85+L86</f>
        <v>11442</v>
      </c>
      <c r="M84" s="100">
        <f>M85+M86</f>
        <v>11442</v>
      </c>
    </row>
    <row r="85" spans="1:13" ht="25.5">
      <c r="A85" s="172"/>
      <c r="B85" s="165"/>
      <c r="C85" s="123" t="s">
        <v>315</v>
      </c>
      <c r="D85" s="27">
        <v>2560</v>
      </c>
      <c r="E85" s="27">
        <v>2224</v>
      </c>
      <c r="F85" s="27">
        <v>2292</v>
      </c>
      <c r="G85" s="27">
        <v>2310</v>
      </c>
      <c r="H85" s="27">
        <v>2310</v>
      </c>
      <c r="I85" s="27">
        <v>2310</v>
      </c>
      <c r="J85" s="27">
        <v>2310</v>
      </c>
      <c r="K85" s="27">
        <v>2310</v>
      </c>
      <c r="L85" s="27">
        <v>2310</v>
      </c>
      <c r="M85" s="27">
        <v>2310</v>
      </c>
    </row>
    <row r="86" spans="1:13" ht="25.5">
      <c r="A86" s="172"/>
      <c r="B86" s="165"/>
      <c r="C86" s="123" t="s">
        <v>316</v>
      </c>
      <c r="D86" s="27">
        <v>9146</v>
      </c>
      <c r="E86" s="27">
        <v>9118</v>
      </c>
      <c r="F86" s="27">
        <v>9120</v>
      </c>
      <c r="G86" s="27">
        <v>9125</v>
      </c>
      <c r="H86" s="27">
        <v>9127</v>
      </c>
      <c r="I86" s="27">
        <v>9132</v>
      </c>
      <c r="J86" s="27">
        <v>9132</v>
      </c>
      <c r="K86" s="27">
        <v>9132</v>
      </c>
      <c r="L86" s="27">
        <v>9132</v>
      </c>
      <c r="M86" s="27">
        <v>9132</v>
      </c>
    </row>
    <row r="87" spans="1:13" ht="25.5">
      <c r="A87" s="172"/>
      <c r="B87" s="165"/>
      <c r="C87" s="123" t="s">
        <v>317</v>
      </c>
      <c r="D87" s="124">
        <f aca="true" t="shared" si="22" ref="D87:J87">D89*D88/100</f>
        <v>10051.6</v>
      </c>
      <c r="E87" s="124">
        <f t="shared" si="22"/>
        <v>10196.225</v>
      </c>
      <c r="F87" s="124">
        <f t="shared" si="22"/>
        <v>10188.75</v>
      </c>
      <c r="G87" s="124">
        <f t="shared" si="22"/>
        <v>10123.75</v>
      </c>
      <c r="H87" s="124">
        <f t="shared" si="22"/>
        <v>10006.75</v>
      </c>
      <c r="I87" s="124">
        <f t="shared" si="22"/>
        <v>9818.25</v>
      </c>
      <c r="J87" s="124">
        <f t="shared" si="22"/>
        <v>9629.75</v>
      </c>
      <c r="K87" s="124">
        <f>K89*K88/100</f>
        <v>9629.75</v>
      </c>
      <c r="L87" s="124">
        <f>L89*L88/100</f>
        <v>9629.75</v>
      </c>
      <c r="M87" s="124">
        <f>M89*M88/100</f>
        <v>9629.75</v>
      </c>
    </row>
    <row r="88" spans="1:13" ht="178.5">
      <c r="A88" s="172"/>
      <c r="B88" s="165"/>
      <c r="C88" s="125" t="s">
        <v>329</v>
      </c>
      <c r="D88" s="126">
        <v>65</v>
      </c>
      <c r="E88" s="126">
        <v>65</v>
      </c>
      <c r="F88" s="126">
        <v>65</v>
      </c>
      <c r="G88" s="126">
        <v>65</v>
      </c>
      <c r="H88" s="126">
        <v>65</v>
      </c>
      <c r="I88" s="126">
        <v>65</v>
      </c>
      <c r="J88" s="126">
        <v>65</v>
      </c>
      <c r="K88" s="126">
        <v>65</v>
      </c>
      <c r="L88" s="126">
        <v>65</v>
      </c>
      <c r="M88" s="126">
        <v>65</v>
      </c>
    </row>
    <row r="89" spans="1:13" ht="25.5">
      <c r="A89" s="173"/>
      <c r="B89" s="165"/>
      <c r="C89" s="127" t="s">
        <v>318</v>
      </c>
      <c r="D89" s="17">
        <f>(15285+15643)/2</f>
        <v>15464</v>
      </c>
      <c r="E89" s="128">
        <f>(15643+15730)/2</f>
        <v>15686.5</v>
      </c>
      <c r="F89" s="57">
        <f>(15730+15620)/2</f>
        <v>15675</v>
      </c>
      <c r="G89" s="57">
        <f>(15620+15530)/2</f>
        <v>15575</v>
      </c>
      <c r="H89" s="57">
        <f>(15530+15260)/2</f>
        <v>15395</v>
      </c>
      <c r="I89" s="57">
        <f>(15260+14950)/2</f>
        <v>15105</v>
      </c>
      <c r="J89" s="57">
        <f>(14680+14950)/2</f>
        <v>14815</v>
      </c>
      <c r="K89" s="57">
        <f>(14680+14950)/2</f>
        <v>14815</v>
      </c>
      <c r="L89" s="57">
        <f>(14680+14950)/2</f>
        <v>14815</v>
      </c>
      <c r="M89" s="57">
        <f>(14680+14950)/2</f>
        <v>14815</v>
      </c>
    </row>
    <row r="90" spans="1:13" ht="51">
      <c r="A90" s="166" t="s">
        <v>361</v>
      </c>
      <c r="B90" s="154" t="s">
        <v>266</v>
      </c>
      <c r="C90" s="102" t="s">
        <v>180</v>
      </c>
      <c r="D90" s="22">
        <f>D91/D92*100</f>
        <v>36.33453691298026</v>
      </c>
      <c r="E90" s="22">
        <f aca="true" t="shared" si="23" ref="E90:J90">E91/E92*100</f>
        <v>36.55361426565539</v>
      </c>
      <c r="F90" s="22">
        <f t="shared" si="23"/>
        <v>36.765384337463246</v>
      </c>
      <c r="G90" s="22">
        <f t="shared" si="23"/>
        <v>36.88031051645176</v>
      </c>
      <c r="H90" s="22">
        <f t="shared" si="23"/>
        <v>37.014124388633334</v>
      </c>
      <c r="I90" s="22">
        <f t="shared" si="23"/>
        <v>37.1529818338329</v>
      </c>
      <c r="J90" s="22">
        <f t="shared" si="23"/>
        <v>37.30313822692576</v>
      </c>
      <c r="K90" s="22">
        <f>K91/K92*100</f>
        <v>37.456581276806</v>
      </c>
      <c r="L90" s="22">
        <f>L91/L92*100</f>
        <v>37.607121891173115</v>
      </c>
      <c r="M90" s="22">
        <f>M91/M92*100</f>
        <v>37.76203015835635</v>
      </c>
    </row>
    <row r="91" spans="1:13" ht="38.25">
      <c r="A91" s="167"/>
      <c r="B91" s="155"/>
      <c r="C91" s="104" t="s">
        <v>181</v>
      </c>
      <c r="D91" s="27">
        <v>132.287</v>
      </c>
      <c r="E91" s="27">
        <v>132.287</v>
      </c>
      <c r="F91" s="27">
        <v>132.287</v>
      </c>
      <c r="G91" s="27">
        <v>132.287</v>
      </c>
      <c r="H91" s="27">
        <v>132.287</v>
      </c>
      <c r="I91" s="27">
        <v>132.287</v>
      </c>
      <c r="J91" s="27">
        <v>132.287</v>
      </c>
      <c r="K91" s="27">
        <v>132.287</v>
      </c>
      <c r="L91" s="27">
        <v>132.287</v>
      </c>
      <c r="M91" s="27">
        <v>132.287</v>
      </c>
    </row>
    <row r="92" spans="1:13" ht="38.25">
      <c r="A92" s="167"/>
      <c r="B92" s="155"/>
      <c r="C92" s="104" t="s">
        <v>182</v>
      </c>
      <c r="D92" s="22">
        <f>D93</f>
        <v>364.0806</v>
      </c>
      <c r="E92" s="22">
        <f aca="true" t="shared" si="24" ref="E92:M92">E93</f>
        <v>361.89855</v>
      </c>
      <c r="F92" s="22">
        <f>F93</f>
        <v>359.814</v>
      </c>
      <c r="G92" s="22">
        <f t="shared" si="24"/>
        <v>358.69275</v>
      </c>
      <c r="H92" s="22">
        <f t="shared" si="24"/>
        <v>357.396</v>
      </c>
      <c r="I92" s="22">
        <f t="shared" si="24"/>
        <v>356.06025</v>
      </c>
      <c r="J92" s="22">
        <f t="shared" si="24"/>
        <v>354.627</v>
      </c>
      <c r="K92" s="22">
        <f t="shared" si="24"/>
        <v>353.17425</v>
      </c>
      <c r="L92" s="22">
        <f t="shared" si="24"/>
        <v>351.76050000000004</v>
      </c>
      <c r="M92" s="22">
        <f t="shared" si="24"/>
        <v>350.3175</v>
      </c>
    </row>
    <row r="93" spans="1:13" ht="51">
      <c r="A93" s="168"/>
      <c r="B93" s="165"/>
      <c r="C93" s="129" t="s">
        <v>183</v>
      </c>
      <c r="D93" s="22">
        <f aca="true" t="shared" si="25" ref="D93:J93">D94*(D95/10000)</f>
        <v>364.0806</v>
      </c>
      <c r="E93" s="22">
        <f t="shared" si="25"/>
        <v>361.89855</v>
      </c>
      <c r="F93" s="22">
        <f t="shared" si="25"/>
        <v>359.814</v>
      </c>
      <c r="G93" s="22">
        <f t="shared" si="25"/>
        <v>358.69275</v>
      </c>
      <c r="H93" s="22">
        <f t="shared" si="25"/>
        <v>357.396</v>
      </c>
      <c r="I93" s="22">
        <f t="shared" si="25"/>
        <v>356.06025</v>
      </c>
      <c r="J93" s="22">
        <f t="shared" si="25"/>
        <v>354.627</v>
      </c>
      <c r="K93" s="22">
        <f>K94*(K95/10000)</f>
        <v>353.17425</v>
      </c>
      <c r="L93" s="22">
        <f>L94*(L95/10000)</f>
        <v>351.76050000000004</v>
      </c>
      <c r="M93" s="22">
        <f>M94*(M95/10000)</f>
        <v>350.3175</v>
      </c>
    </row>
    <row r="94" spans="1:13" ht="38.25">
      <c r="A94" s="168"/>
      <c r="B94" s="165"/>
      <c r="C94" s="129" t="s">
        <v>97</v>
      </c>
      <c r="D94" s="27">
        <v>19.5</v>
      </c>
      <c r="E94" s="27">
        <v>19.5</v>
      </c>
      <c r="F94" s="27">
        <v>19.5</v>
      </c>
      <c r="G94" s="27">
        <v>19.5</v>
      </c>
      <c r="H94" s="27">
        <v>19.5</v>
      </c>
      <c r="I94" s="27">
        <v>19.5</v>
      </c>
      <c r="J94" s="27">
        <v>19.5</v>
      </c>
      <c r="K94" s="27">
        <v>19.5</v>
      </c>
      <c r="L94" s="27">
        <v>19.5</v>
      </c>
      <c r="M94" s="27">
        <v>19.5</v>
      </c>
    </row>
    <row r="95" spans="1:13" ht="25.5">
      <c r="A95" s="169"/>
      <c r="B95" s="170"/>
      <c r="C95" s="129" t="s">
        <v>218</v>
      </c>
      <c r="D95" s="28">
        <v>186708</v>
      </c>
      <c r="E95" s="28">
        <v>185589</v>
      </c>
      <c r="F95" s="28">
        <v>184520</v>
      </c>
      <c r="G95" s="28">
        <f aca="true" t="shared" si="26" ref="G95:M95">G18</f>
        <v>183945</v>
      </c>
      <c r="H95" s="28">
        <f t="shared" si="26"/>
        <v>183280</v>
      </c>
      <c r="I95" s="28">
        <f t="shared" si="26"/>
        <v>182595</v>
      </c>
      <c r="J95" s="28">
        <f t="shared" si="26"/>
        <v>181860</v>
      </c>
      <c r="K95" s="28">
        <f t="shared" si="26"/>
        <v>181115</v>
      </c>
      <c r="L95" s="28">
        <f t="shared" si="26"/>
        <v>180390</v>
      </c>
      <c r="M95" s="28">
        <f t="shared" si="26"/>
        <v>179650</v>
      </c>
    </row>
    <row r="96" spans="1:13" ht="15.75">
      <c r="A96" s="161" t="s">
        <v>65</v>
      </c>
      <c r="B96" s="161"/>
      <c r="C96" s="161"/>
      <c r="D96" s="161"/>
      <c r="E96" s="161"/>
      <c r="F96" s="161"/>
      <c r="G96" s="161"/>
      <c r="H96" s="161"/>
      <c r="I96" s="161"/>
      <c r="J96" s="161"/>
      <c r="K96" s="130"/>
      <c r="L96" s="130"/>
      <c r="M96" s="130"/>
    </row>
    <row r="97" spans="1:13" ht="63.75">
      <c r="A97" s="150" t="s">
        <v>172</v>
      </c>
      <c r="B97" s="149" t="s">
        <v>266</v>
      </c>
      <c r="C97" s="101" t="s">
        <v>173</v>
      </c>
      <c r="D97" s="25">
        <f>D98/D99*100</f>
        <v>24.056603773584907</v>
      </c>
      <c r="E97" s="25">
        <f aca="true" t="shared" si="27" ref="E97:J97">E98/E99*100</f>
        <v>22.169811320754718</v>
      </c>
      <c r="F97" s="25">
        <f t="shared" si="27"/>
        <v>4.716981132075472</v>
      </c>
      <c r="G97" s="25">
        <f t="shared" si="27"/>
        <v>4.854368932038835</v>
      </c>
      <c r="H97" s="25">
        <f t="shared" si="27"/>
        <v>4.368932038834951</v>
      </c>
      <c r="I97" s="25">
        <f t="shared" si="27"/>
        <v>3.8834951456310676</v>
      </c>
      <c r="J97" s="25">
        <f t="shared" si="27"/>
        <v>3.3980582524271843</v>
      </c>
      <c r="K97" s="25">
        <f>K98/K99*100</f>
        <v>2.912621359223301</v>
      </c>
      <c r="L97" s="25">
        <f>L98/L99*100</f>
        <v>2.4271844660194173</v>
      </c>
      <c r="M97" s="25">
        <f>M98/M99*100</f>
        <v>1.9417475728155338</v>
      </c>
    </row>
    <row r="98" spans="1:13" ht="38.25">
      <c r="A98" s="150"/>
      <c r="B98" s="149"/>
      <c r="C98" s="104" t="s">
        <v>393</v>
      </c>
      <c r="D98" s="27" t="s">
        <v>174</v>
      </c>
      <c r="E98" s="27">
        <f>D98-4</f>
        <v>47</v>
      </c>
      <c r="F98" s="27">
        <f>E98-35-2</f>
        <v>10</v>
      </c>
      <c r="G98" s="27">
        <f>F98</f>
        <v>10</v>
      </c>
      <c r="H98" s="27">
        <v>9</v>
      </c>
      <c r="I98" s="27">
        <v>8</v>
      </c>
      <c r="J98" s="27">
        <v>7</v>
      </c>
      <c r="K98" s="27">
        <v>6</v>
      </c>
      <c r="L98" s="27">
        <v>5</v>
      </c>
      <c r="M98" s="27">
        <v>4</v>
      </c>
    </row>
    <row r="99" spans="1:13" ht="25.5">
      <c r="A99" s="150"/>
      <c r="B99" s="149"/>
      <c r="C99" s="131" t="s">
        <v>394</v>
      </c>
      <c r="D99" s="27" t="s">
        <v>175</v>
      </c>
      <c r="E99" s="27" t="s">
        <v>175</v>
      </c>
      <c r="F99" s="27" t="s">
        <v>175</v>
      </c>
      <c r="G99" s="27">
        <v>206</v>
      </c>
      <c r="H99" s="27">
        <v>206</v>
      </c>
      <c r="I99" s="27">
        <v>206</v>
      </c>
      <c r="J99" s="27">
        <v>206</v>
      </c>
      <c r="K99" s="27">
        <v>206</v>
      </c>
      <c r="L99" s="27">
        <v>206</v>
      </c>
      <c r="M99" s="27">
        <v>206</v>
      </c>
    </row>
    <row r="100" spans="1:13" ht="63.75">
      <c r="A100" s="159" t="s">
        <v>362</v>
      </c>
      <c r="B100" s="149" t="s">
        <v>266</v>
      </c>
      <c r="C100" s="104" t="s">
        <v>216</v>
      </c>
      <c r="D100" s="25">
        <f>D101/D102*100</f>
        <v>0</v>
      </c>
      <c r="E100" s="25">
        <f aca="true" t="shared" si="28" ref="E100:J100">E101/E102*100</f>
        <v>16.666666666666664</v>
      </c>
      <c r="F100" s="25">
        <f t="shared" si="28"/>
        <v>100</v>
      </c>
      <c r="G100" s="25">
        <f t="shared" si="28"/>
        <v>100</v>
      </c>
      <c r="H100" s="25">
        <f t="shared" si="28"/>
        <v>100</v>
      </c>
      <c r="I100" s="25">
        <f t="shared" si="28"/>
        <v>100</v>
      </c>
      <c r="J100" s="25">
        <f t="shared" si="28"/>
        <v>100</v>
      </c>
      <c r="K100" s="25">
        <f>K101/K102*100</f>
        <v>100</v>
      </c>
      <c r="L100" s="25">
        <f>L101/L102*100</f>
        <v>100</v>
      </c>
      <c r="M100" s="25">
        <f>M101/M102*100</f>
        <v>100</v>
      </c>
    </row>
    <row r="101" spans="1:14" ht="25.5">
      <c r="A101" s="159"/>
      <c r="B101" s="149"/>
      <c r="C101" s="104" t="s">
        <v>164</v>
      </c>
      <c r="D101" s="132">
        <v>0</v>
      </c>
      <c r="E101" s="132">
        <v>2</v>
      </c>
      <c r="F101" s="132">
        <v>1</v>
      </c>
      <c r="G101" s="132">
        <v>1</v>
      </c>
      <c r="H101" s="132">
        <v>1</v>
      </c>
      <c r="I101" s="132">
        <v>1</v>
      </c>
      <c r="J101" s="132">
        <v>1</v>
      </c>
      <c r="K101" s="132">
        <v>1</v>
      </c>
      <c r="L101" s="132">
        <v>1</v>
      </c>
      <c r="M101" s="132">
        <v>1</v>
      </c>
      <c r="N101" s="164" t="s">
        <v>211</v>
      </c>
    </row>
    <row r="102" spans="1:14" ht="25.5">
      <c r="A102" s="160"/>
      <c r="B102" s="149"/>
      <c r="C102" s="104" t="s">
        <v>162</v>
      </c>
      <c r="D102" s="132" t="s">
        <v>163</v>
      </c>
      <c r="E102" s="132" t="s">
        <v>163</v>
      </c>
      <c r="F102" s="132">
        <v>1</v>
      </c>
      <c r="G102" s="132">
        <v>1</v>
      </c>
      <c r="H102" s="132">
        <v>1</v>
      </c>
      <c r="I102" s="132">
        <v>1</v>
      </c>
      <c r="J102" s="132">
        <v>1</v>
      </c>
      <c r="K102" s="132">
        <v>1</v>
      </c>
      <c r="L102" s="132">
        <v>1</v>
      </c>
      <c r="M102" s="132">
        <v>1</v>
      </c>
      <c r="N102" s="164"/>
    </row>
    <row r="103" spans="1:13" ht="38.25">
      <c r="A103" s="150" t="s">
        <v>424</v>
      </c>
      <c r="B103" s="157" t="s">
        <v>165</v>
      </c>
      <c r="C103" s="102" t="s">
        <v>363</v>
      </c>
      <c r="D103" s="22">
        <f>D104/D105</f>
        <v>0.16244617263320266</v>
      </c>
      <c r="E103" s="22">
        <f aca="true" t="shared" si="29" ref="E103:J103">E104/E105</f>
        <v>0.19954307636767266</v>
      </c>
      <c r="F103" s="22">
        <f t="shared" si="29"/>
        <v>0.242943312378062</v>
      </c>
      <c r="G103" s="22">
        <f t="shared" si="29"/>
        <v>0.3186441599391122</v>
      </c>
      <c r="H103" s="22">
        <f t="shared" si="29"/>
        <v>0.37443529026625927</v>
      </c>
      <c r="I103" s="22">
        <f t="shared" si="29"/>
        <v>0.47897258961088746</v>
      </c>
      <c r="J103" s="22">
        <f t="shared" si="29"/>
        <v>0.31731001869569997</v>
      </c>
      <c r="K103" s="22">
        <f>K104/K105</f>
        <v>0.2903011898517517</v>
      </c>
      <c r="L103" s="22">
        <f>L104/L105</f>
        <v>0.313975275791341</v>
      </c>
      <c r="M103" s="22">
        <f>M104/M105</f>
        <v>0.33786807681603115</v>
      </c>
    </row>
    <row r="104" spans="1:13" ht="25.5">
      <c r="A104" s="150"/>
      <c r="B104" s="157"/>
      <c r="C104" s="102" t="s">
        <v>364</v>
      </c>
      <c r="D104" s="21">
        <f>D15</f>
        <v>30330</v>
      </c>
      <c r="E104" s="21">
        <f aca="true" t="shared" si="30" ref="E104:J104">E15</f>
        <v>37033</v>
      </c>
      <c r="F104" s="21">
        <f t="shared" si="30"/>
        <v>44827.9</v>
      </c>
      <c r="G104" s="21">
        <f t="shared" si="30"/>
        <v>58613</v>
      </c>
      <c r="H104" s="21">
        <f t="shared" si="30"/>
        <v>68626.5</v>
      </c>
      <c r="I104" s="21">
        <f t="shared" si="30"/>
        <v>87458</v>
      </c>
      <c r="J104" s="21">
        <f t="shared" si="30"/>
        <v>57706</v>
      </c>
      <c r="K104" s="21">
        <f>K15</f>
        <v>52577.9</v>
      </c>
      <c r="L104" s="21">
        <f>L15</f>
        <v>56638</v>
      </c>
      <c r="M104" s="21">
        <f>M15</f>
        <v>60698</v>
      </c>
    </row>
    <row r="105" spans="1:13" ht="12.75">
      <c r="A105" s="150"/>
      <c r="B105" s="157"/>
      <c r="C105" s="102" t="s">
        <v>157</v>
      </c>
      <c r="D105" s="28">
        <v>186708</v>
      </c>
      <c r="E105" s="28">
        <v>185589</v>
      </c>
      <c r="F105" s="28">
        <v>184520</v>
      </c>
      <c r="G105" s="28">
        <f aca="true" t="shared" si="31" ref="G105:M105">G18</f>
        <v>183945</v>
      </c>
      <c r="H105" s="28">
        <f t="shared" si="31"/>
        <v>183280</v>
      </c>
      <c r="I105" s="28">
        <f t="shared" si="31"/>
        <v>182595</v>
      </c>
      <c r="J105" s="28">
        <f t="shared" si="31"/>
        <v>181860</v>
      </c>
      <c r="K105" s="28">
        <f t="shared" si="31"/>
        <v>181115</v>
      </c>
      <c r="L105" s="28">
        <f t="shared" si="31"/>
        <v>180390</v>
      </c>
      <c r="M105" s="28">
        <f t="shared" si="31"/>
        <v>179650</v>
      </c>
    </row>
    <row r="106" spans="1:13" ht="51">
      <c r="A106" s="150" t="s">
        <v>379</v>
      </c>
      <c r="B106" s="149" t="s">
        <v>221</v>
      </c>
      <c r="C106" s="101" t="s">
        <v>62</v>
      </c>
      <c r="D106" s="40">
        <f>D107/D108*10000</f>
        <v>1.258649870385843</v>
      </c>
      <c r="E106" s="40">
        <f aca="true" t="shared" si="32" ref="E106:J106">E107/E108*10000</f>
        <v>1.0776500762437429</v>
      </c>
      <c r="F106" s="40">
        <f t="shared" si="32"/>
        <v>2.4929546932581834</v>
      </c>
      <c r="G106" s="40">
        <f t="shared" si="32"/>
        <v>0.9785533719318275</v>
      </c>
      <c r="H106" s="40">
        <f t="shared" si="32"/>
        <v>1.0912265386294195</v>
      </c>
      <c r="I106" s="40">
        <f t="shared" si="32"/>
        <v>1.0953202442564145</v>
      </c>
      <c r="J106" s="40">
        <f t="shared" si="32"/>
        <v>1.0997470581766193</v>
      </c>
      <c r="K106" s="40">
        <f>K107/K108*10000</f>
        <v>1.1042707671921155</v>
      </c>
      <c r="L106" s="40">
        <f>L107/L108*10000</f>
        <v>1.1087089084760797</v>
      </c>
      <c r="M106" s="40">
        <f>M107/M108*10000</f>
        <v>1.113275814082939</v>
      </c>
    </row>
    <row r="107" spans="1:13" ht="25.5">
      <c r="A107" s="150"/>
      <c r="B107" s="149"/>
      <c r="C107" s="102" t="s">
        <v>177</v>
      </c>
      <c r="D107" s="27">
        <v>23.5</v>
      </c>
      <c r="E107" s="27">
        <v>20</v>
      </c>
      <c r="F107" s="27">
        <v>46</v>
      </c>
      <c r="G107" s="27">
        <v>18</v>
      </c>
      <c r="H107" s="27">
        <v>20</v>
      </c>
      <c r="I107" s="27">
        <v>20</v>
      </c>
      <c r="J107" s="27">
        <v>20</v>
      </c>
      <c r="K107" s="27">
        <v>20</v>
      </c>
      <c r="L107" s="27">
        <v>20</v>
      </c>
      <c r="M107" s="27">
        <v>20</v>
      </c>
    </row>
    <row r="108" spans="1:13" ht="12.75">
      <c r="A108" s="150"/>
      <c r="B108" s="149"/>
      <c r="C108" s="102" t="s">
        <v>157</v>
      </c>
      <c r="D108" s="28">
        <v>186708</v>
      </c>
      <c r="E108" s="28">
        <v>185589</v>
      </c>
      <c r="F108" s="28">
        <v>184520</v>
      </c>
      <c r="G108" s="28">
        <f aca="true" t="shared" si="33" ref="G108:M108">G18</f>
        <v>183945</v>
      </c>
      <c r="H108" s="28">
        <f t="shared" si="33"/>
        <v>183280</v>
      </c>
      <c r="I108" s="28">
        <f t="shared" si="33"/>
        <v>182595</v>
      </c>
      <c r="J108" s="28">
        <f t="shared" si="33"/>
        <v>181860</v>
      </c>
      <c r="K108" s="28">
        <f t="shared" si="33"/>
        <v>181115</v>
      </c>
      <c r="L108" s="28">
        <f t="shared" si="33"/>
        <v>180390</v>
      </c>
      <c r="M108" s="28">
        <f t="shared" si="33"/>
        <v>179650</v>
      </c>
    </row>
    <row r="109" spans="1:13" ht="15.75">
      <c r="A109" s="161" t="s">
        <v>54</v>
      </c>
      <c r="B109" s="161"/>
      <c r="C109" s="161"/>
      <c r="D109" s="161"/>
      <c r="E109" s="161"/>
      <c r="F109" s="161"/>
      <c r="G109" s="161"/>
      <c r="H109" s="161"/>
      <c r="I109" s="161"/>
      <c r="J109" s="161"/>
      <c r="K109" s="130"/>
      <c r="L109" s="130"/>
      <c r="M109" s="130"/>
    </row>
    <row r="110" spans="1:13" ht="127.5">
      <c r="A110" s="150" t="s">
        <v>242</v>
      </c>
      <c r="B110" s="149" t="s">
        <v>266</v>
      </c>
      <c r="C110" s="101" t="s">
        <v>240</v>
      </c>
      <c r="D110" s="25">
        <f aca="true" t="shared" si="34" ref="D110:J110">D111/D112*100</f>
        <v>69.57072407867977</v>
      </c>
      <c r="E110" s="25">
        <f t="shared" si="34"/>
        <v>65.7142617291597</v>
      </c>
      <c r="F110" s="25">
        <f t="shared" si="34"/>
        <v>47.680118143459914</v>
      </c>
      <c r="G110" s="25">
        <f t="shared" si="34"/>
        <v>43.04003409967551</v>
      </c>
      <c r="H110" s="25">
        <f t="shared" si="34"/>
        <v>42.92072568289319</v>
      </c>
      <c r="I110" s="25">
        <f t="shared" si="34"/>
        <v>59.511199999999995</v>
      </c>
      <c r="J110" s="25">
        <f t="shared" si="34"/>
        <v>59.511199999999995</v>
      </c>
      <c r="K110" s="25">
        <f>K111/K112*100</f>
        <v>59.511199999999995</v>
      </c>
      <c r="L110" s="25">
        <f>L111/L112*100</f>
        <v>59.511199999999995</v>
      </c>
      <c r="M110" s="25">
        <f>M111/M112*100</f>
        <v>59.511199999999995</v>
      </c>
    </row>
    <row r="111" spans="1:13" ht="76.5">
      <c r="A111" s="150"/>
      <c r="B111" s="149"/>
      <c r="C111" s="102" t="s">
        <v>241</v>
      </c>
      <c r="D111" s="88">
        <v>42350.9</v>
      </c>
      <c r="E111" s="88">
        <v>70451.8</v>
      </c>
      <c r="F111" s="88">
        <v>33900.564</v>
      </c>
      <c r="G111" s="88">
        <v>28676.8</v>
      </c>
      <c r="H111" s="88">
        <f>прил_4!M285</f>
        <v>35969.8</v>
      </c>
      <c r="I111" s="88">
        <f>J111</f>
        <v>29755.6</v>
      </c>
      <c r="J111" s="88">
        <f>прил_4!O285</f>
        <v>29755.6</v>
      </c>
      <c r="K111" s="88">
        <f>прил_4!P285</f>
        <v>29755.6</v>
      </c>
      <c r="L111" s="88">
        <f>прил_4!Q285</f>
        <v>29755.6</v>
      </c>
      <c r="M111" s="88">
        <f>прил_4!R285</f>
        <v>29755.6</v>
      </c>
    </row>
    <row r="112" spans="1:13" ht="38.25">
      <c r="A112" s="150"/>
      <c r="B112" s="149"/>
      <c r="C112" s="102" t="s">
        <v>239</v>
      </c>
      <c r="D112" s="88">
        <v>60874.6</v>
      </c>
      <c r="E112" s="88">
        <v>107209.3</v>
      </c>
      <c r="F112" s="88">
        <v>71100</v>
      </c>
      <c r="G112" s="88">
        <v>66628.2</v>
      </c>
      <c r="H112" s="88">
        <v>83805.2</v>
      </c>
      <c r="I112" s="88">
        <v>50000</v>
      </c>
      <c r="J112" s="88">
        <v>50000</v>
      </c>
      <c r="K112" s="88">
        <v>50000</v>
      </c>
      <c r="L112" s="88">
        <v>50000</v>
      </c>
      <c r="M112" s="88">
        <v>50000</v>
      </c>
    </row>
    <row r="113" spans="1:13" ht="89.25">
      <c r="A113" s="150" t="s">
        <v>185</v>
      </c>
      <c r="B113" s="149" t="s">
        <v>266</v>
      </c>
      <c r="C113" s="101" t="s">
        <v>186</v>
      </c>
      <c r="D113" s="89">
        <f>D114/D115*100</f>
        <v>76.41686698717949</v>
      </c>
      <c r="E113" s="89">
        <f aca="true" t="shared" si="35" ref="E113:J113">E114/E115*100</f>
        <v>66.52936181791459</v>
      </c>
      <c r="F113" s="89">
        <f t="shared" si="35"/>
        <v>67.50069179111439</v>
      </c>
      <c r="G113" s="89">
        <f t="shared" si="35"/>
        <v>43.22190476190476</v>
      </c>
      <c r="H113" s="89">
        <f t="shared" si="35"/>
        <v>43.13589945011783</v>
      </c>
      <c r="I113" s="89">
        <f t="shared" si="35"/>
        <v>36.3972</v>
      </c>
      <c r="J113" s="89">
        <f t="shared" si="35"/>
        <v>36.3972</v>
      </c>
      <c r="K113" s="89">
        <f>K114/K115*100</f>
        <v>36.3972</v>
      </c>
      <c r="L113" s="89">
        <f>L114/L115*100</f>
        <v>36.3972</v>
      </c>
      <c r="M113" s="89">
        <f>M114/M115*100</f>
        <v>36.3972</v>
      </c>
    </row>
    <row r="114" spans="1:13" ht="38.25">
      <c r="A114" s="150"/>
      <c r="B114" s="149"/>
      <c r="C114" s="102" t="s">
        <v>189</v>
      </c>
      <c r="D114" s="88">
        <v>38147.3</v>
      </c>
      <c r="E114" s="88">
        <v>54768.9</v>
      </c>
      <c r="F114" s="21">
        <v>64032.81</v>
      </c>
      <c r="G114" s="21">
        <v>27229.8</v>
      </c>
      <c r="H114" s="21">
        <f>прил_4!M286</f>
        <v>21964.8</v>
      </c>
      <c r="I114" s="21">
        <f>J114</f>
        <v>18198.6</v>
      </c>
      <c r="J114" s="21">
        <f>прил_4!O286</f>
        <v>18198.6</v>
      </c>
      <c r="K114" s="21">
        <f>прил_4!P286</f>
        <v>18198.6</v>
      </c>
      <c r="L114" s="21">
        <f>прил_4!Q286</f>
        <v>18198.6</v>
      </c>
      <c r="M114" s="21">
        <f>прил_4!R286</f>
        <v>18198.6</v>
      </c>
    </row>
    <row r="115" spans="1:13" ht="38.25">
      <c r="A115" s="150"/>
      <c r="B115" s="149"/>
      <c r="C115" s="104" t="s">
        <v>188</v>
      </c>
      <c r="D115" s="88">
        <v>49920</v>
      </c>
      <c r="E115" s="88">
        <v>82322.9</v>
      </c>
      <c r="F115" s="88">
        <v>94862.45</v>
      </c>
      <c r="G115" s="88">
        <v>63000</v>
      </c>
      <c r="H115" s="88">
        <v>50920</v>
      </c>
      <c r="I115" s="88">
        <v>50000</v>
      </c>
      <c r="J115" s="88">
        <v>50000</v>
      </c>
      <c r="K115" s="88">
        <v>50000</v>
      </c>
      <c r="L115" s="88">
        <v>50000</v>
      </c>
      <c r="M115" s="88">
        <v>50000</v>
      </c>
    </row>
    <row r="116" spans="1:13" ht="15.75">
      <c r="A116" s="158" t="s">
        <v>55</v>
      </c>
      <c r="B116" s="158"/>
      <c r="C116" s="158"/>
      <c r="D116" s="158"/>
      <c r="E116" s="158"/>
      <c r="F116" s="158"/>
      <c r="G116" s="158"/>
      <c r="H116" s="158"/>
      <c r="I116" s="158"/>
      <c r="J116" s="158"/>
      <c r="K116" s="118"/>
      <c r="L116" s="118"/>
      <c r="M116" s="118"/>
    </row>
    <row r="117" spans="1:13" ht="38.25">
      <c r="A117" s="150" t="s">
        <v>190</v>
      </c>
      <c r="B117" s="149" t="s">
        <v>266</v>
      </c>
      <c r="C117" s="133" t="s">
        <v>191</v>
      </c>
      <c r="D117" s="25">
        <f>D118/D119*100</f>
        <v>3.552606208625233</v>
      </c>
      <c r="E117" s="25">
        <f aca="true" t="shared" si="36" ref="E117:J117">E118/E119*100</f>
        <v>3.216785477587573</v>
      </c>
      <c r="F117" s="25">
        <f t="shared" si="36"/>
        <v>0</v>
      </c>
      <c r="G117" s="25">
        <f t="shared" si="36"/>
        <v>0</v>
      </c>
      <c r="H117" s="25">
        <f t="shared" si="36"/>
        <v>0</v>
      </c>
      <c r="I117" s="25">
        <f t="shared" si="36"/>
        <v>0</v>
      </c>
      <c r="J117" s="25">
        <f t="shared" si="36"/>
        <v>0</v>
      </c>
      <c r="K117" s="25">
        <f>K118/K119*100</f>
        <v>0</v>
      </c>
      <c r="L117" s="25">
        <f>L118/L119*100</f>
        <v>0</v>
      </c>
      <c r="M117" s="25">
        <f>M118/M119*100</f>
        <v>0</v>
      </c>
    </row>
    <row r="118" spans="1:13" ht="25.5">
      <c r="A118" s="150"/>
      <c r="B118" s="149"/>
      <c r="C118" s="102" t="s">
        <v>193</v>
      </c>
      <c r="D118" s="28">
        <v>6633</v>
      </c>
      <c r="E118" s="28">
        <v>5970</v>
      </c>
      <c r="F118" s="28"/>
      <c r="G118" s="28"/>
      <c r="H118" s="28"/>
      <c r="I118" s="28"/>
      <c r="J118" s="28"/>
      <c r="K118" s="28"/>
      <c r="L118" s="28"/>
      <c r="M118" s="28"/>
    </row>
    <row r="119" spans="1:13" ht="12.75">
      <c r="A119" s="150"/>
      <c r="B119" s="149"/>
      <c r="C119" s="102" t="s">
        <v>157</v>
      </c>
      <c r="D119" s="28">
        <v>186708</v>
      </c>
      <c r="E119" s="28">
        <v>185589</v>
      </c>
      <c r="F119" s="28">
        <v>184520</v>
      </c>
      <c r="G119" s="28">
        <f aca="true" t="shared" si="37" ref="G119:M119">G18</f>
        <v>183945</v>
      </c>
      <c r="H119" s="28">
        <f t="shared" si="37"/>
        <v>183280</v>
      </c>
      <c r="I119" s="28">
        <f t="shared" si="37"/>
        <v>182595</v>
      </c>
      <c r="J119" s="28">
        <f t="shared" si="37"/>
        <v>181860</v>
      </c>
      <c r="K119" s="28">
        <f t="shared" si="37"/>
        <v>181115</v>
      </c>
      <c r="L119" s="28">
        <f t="shared" si="37"/>
        <v>180390</v>
      </c>
      <c r="M119" s="28">
        <f t="shared" si="37"/>
        <v>179650</v>
      </c>
    </row>
    <row r="120" spans="1:13" ht="63.75">
      <c r="A120" s="150" t="s">
        <v>300</v>
      </c>
      <c r="B120" s="149" t="s">
        <v>266</v>
      </c>
      <c r="C120" s="102" t="s">
        <v>299</v>
      </c>
      <c r="D120" s="25">
        <f>D121/D122*100</f>
        <v>4.669260700389105</v>
      </c>
      <c r="E120" s="25">
        <f aca="true" t="shared" si="38" ref="E120:J120">E121/E122*100</f>
        <v>3.272727272727273</v>
      </c>
      <c r="F120" s="25">
        <f t="shared" si="38"/>
        <v>1.4545454545454546</v>
      </c>
      <c r="G120" s="25">
        <f t="shared" si="38"/>
        <v>1.7793594306049825</v>
      </c>
      <c r="H120" s="25">
        <f t="shared" si="38"/>
        <v>3.8910505836575875</v>
      </c>
      <c r="I120" s="25">
        <f t="shared" si="38"/>
        <v>2.181818181818182</v>
      </c>
      <c r="J120" s="25">
        <f t="shared" si="38"/>
        <v>2.181818181818182</v>
      </c>
      <c r="K120" s="25">
        <f>K121/K122*100</f>
        <v>2.5454545454545454</v>
      </c>
      <c r="L120" s="25">
        <f>L121/L122*100</f>
        <v>2.5454545454545454</v>
      </c>
      <c r="M120" s="25">
        <f>M121/M122*100</f>
        <v>2.5454545454545454</v>
      </c>
    </row>
    <row r="121" spans="1:13" ht="25.5">
      <c r="A121" s="150"/>
      <c r="B121" s="149"/>
      <c r="C121" s="104" t="s">
        <v>194</v>
      </c>
      <c r="D121" s="27">
        <v>12</v>
      </c>
      <c r="E121" s="21">
        <v>9</v>
      </c>
      <c r="F121" s="21">
        <v>4</v>
      </c>
      <c r="G121" s="21">
        <v>5</v>
      </c>
      <c r="H121" s="21">
        <v>10</v>
      </c>
      <c r="I121" s="21">
        <f>прил_4!N315</f>
        <v>6</v>
      </c>
      <c r="J121" s="21">
        <f>прил_4!O315</f>
        <v>6</v>
      </c>
      <c r="K121" s="21">
        <f>прил_4!P315</f>
        <v>7</v>
      </c>
      <c r="L121" s="21">
        <f>прил_4!Q315</f>
        <v>7</v>
      </c>
      <c r="M121" s="21">
        <f>прил_4!R315</f>
        <v>7</v>
      </c>
    </row>
    <row r="122" spans="1:13" ht="38.25">
      <c r="A122" s="150"/>
      <c r="B122" s="149"/>
      <c r="C122" s="104" t="s">
        <v>298</v>
      </c>
      <c r="D122" s="27">
        <v>257</v>
      </c>
      <c r="E122" s="27">
        <v>275</v>
      </c>
      <c r="F122" s="27">
        <v>275</v>
      </c>
      <c r="G122" s="27">
        <v>281</v>
      </c>
      <c r="H122" s="27">
        <v>257</v>
      </c>
      <c r="I122" s="27">
        <v>275</v>
      </c>
      <c r="J122" s="27">
        <v>275</v>
      </c>
      <c r="K122" s="27">
        <v>275</v>
      </c>
      <c r="L122" s="27">
        <v>275</v>
      </c>
      <c r="M122" s="27">
        <v>275</v>
      </c>
    </row>
    <row r="123" spans="1:13" ht="144" customHeight="1">
      <c r="A123" s="150" t="s">
        <v>402</v>
      </c>
      <c r="B123" s="149" t="s">
        <v>266</v>
      </c>
      <c r="C123" s="133" t="s">
        <v>403</v>
      </c>
      <c r="D123" s="25" t="s">
        <v>418</v>
      </c>
      <c r="E123" s="25" t="s">
        <v>418</v>
      </c>
      <c r="F123" s="25">
        <f aca="true" t="shared" si="39" ref="F123:M123">F124/F125*100</f>
        <v>15.384615384615385</v>
      </c>
      <c r="G123" s="25">
        <f t="shared" si="39"/>
        <v>4.545454545454546</v>
      </c>
      <c r="H123" s="25">
        <f t="shared" si="39"/>
        <v>48</v>
      </c>
      <c r="I123" s="25">
        <f t="shared" si="39"/>
        <v>4.545454545454546</v>
      </c>
      <c r="J123" s="25">
        <f t="shared" si="39"/>
        <v>4.545454545454546</v>
      </c>
      <c r="K123" s="25">
        <f t="shared" si="39"/>
        <v>4.545454545454546</v>
      </c>
      <c r="L123" s="25">
        <f t="shared" si="39"/>
        <v>4.545454545454546</v>
      </c>
      <c r="M123" s="25">
        <f t="shared" si="39"/>
        <v>4.545454545454546</v>
      </c>
    </row>
    <row r="124" spans="1:13" ht="69" customHeight="1">
      <c r="A124" s="150"/>
      <c r="B124" s="149"/>
      <c r="C124" s="110" t="s">
        <v>405</v>
      </c>
      <c r="D124" s="28" t="s">
        <v>418</v>
      </c>
      <c r="E124" s="28" t="s">
        <v>418</v>
      </c>
      <c r="F124" s="21">
        <v>2</v>
      </c>
      <c r="G124" s="21">
        <v>1</v>
      </c>
      <c r="H124" s="21">
        <v>84</v>
      </c>
      <c r="I124" s="21">
        <v>1</v>
      </c>
      <c r="J124" s="21">
        <v>1</v>
      </c>
      <c r="K124" s="21">
        <v>1</v>
      </c>
      <c r="L124" s="21">
        <v>1</v>
      </c>
      <c r="M124" s="21">
        <v>1</v>
      </c>
    </row>
    <row r="125" spans="1:13" ht="78.75" customHeight="1">
      <c r="A125" s="150"/>
      <c r="B125" s="149"/>
      <c r="C125" s="110" t="s">
        <v>406</v>
      </c>
      <c r="D125" s="28" t="s">
        <v>418</v>
      </c>
      <c r="E125" s="28" t="s">
        <v>418</v>
      </c>
      <c r="F125" s="28">
        <v>13</v>
      </c>
      <c r="G125" s="28">
        <v>22</v>
      </c>
      <c r="H125" s="28">
        <v>175</v>
      </c>
      <c r="I125" s="28">
        <v>22</v>
      </c>
      <c r="J125" s="28">
        <v>22</v>
      </c>
      <c r="K125" s="28">
        <v>22</v>
      </c>
      <c r="L125" s="28">
        <v>22</v>
      </c>
      <c r="M125" s="28">
        <v>22</v>
      </c>
    </row>
    <row r="126" spans="1:13" ht="76.5">
      <c r="A126" s="150" t="s">
        <v>343</v>
      </c>
      <c r="B126" s="149" t="s">
        <v>266</v>
      </c>
      <c r="C126" s="102" t="s">
        <v>305</v>
      </c>
      <c r="D126" s="25">
        <f>D127/D128*100</f>
        <v>0.27613412228796846</v>
      </c>
      <c r="E126" s="40">
        <f aca="true" t="shared" si="40" ref="E126:J126">E127/E128*100</f>
        <v>0.08047901107391192</v>
      </c>
      <c r="F126" s="40">
        <f t="shared" si="40"/>
        <v>0.016097875080489377</v>
      </c>
      <c r="G126" s="40">
        <f t="shared" si="40"/>
        <v>0.016103578215079392</v>
      </c>
      <c r="H126" s="40">
        <f t="shared" si="40"/>
        <v>0.016103578215079392</v>
      </c>
      <c r="I126" s="40">
        <f t="shared" si="40"/>
        <v>0.016103578215079392</v>
      </c>
      <c r="J126" s="40">
        <f t="shared" si="40"/>
        <v>0.016103578215079392</v>
      </c>
      <c r="K126" s="40">
        <f>K127/K128*100</f>
        <v>0.016103578215079392</v>
      </c>
      <c r="L126" s="40">
        <f>L127/L128*100</f>
        <v>0.016103578215079392</v>
      </c>
      <c r="M126" s="40">
        <f>M127/M128*100</f>
        <v>0.016103578215079392</v>
      </c>
    </row>
    <row r="127" spans="1:13" ht="25.5">
      <c r="A127" s="150"/>
      <c r="B127" s="149"/>
      <c r="C127" s="104" t="s">
        <v>392</v>
      </c>
      <c r="D127" s="27">
        <v>14</v>
      </c>
      <c r="E127" s="27">
        <v>5</v>
      </c>
      <c r="F127" s="27">
        <v>1</v>
      </c>
      <c r="G127" s="27">
        <v>1</v>
      </c>
      <c r="H127" s="28">
        <v>1</v>
      </c>
      <c r="I127" s="28">
        <f>прил_4!N330</f>
        <v>1</v>
      </c>
      <c r="J127" s="28">
        <f>прил_4!O330</f>
        <v>1</v>
      </c>
      <c r="K127" s="28">
        <f>прил_4!P330</f>
        <v>1</v>
      </c>
      <c r="L127" s="28">
        <f>прил_4!Q330</f>
        <v>1</v>
      </c>
      <c r="M127" s="28">
        <f>прил_4!R330</f>
        <v>1</v>
      </c>
    </row>
    <row r="128" spans="1:13" ht="38.25">
      <c r="A128" s="150"/>
      <c r="B128" s="149"/>
      <c r="C128" s="104" t="s">
        <v>204</v>
      </c>
      <c r="D128" s="27">
        <v>5070</v>
      </c>
      <c r="E128" s="111">
        <f>2388*2.6+4</f>
        <v>6212.8</v>
      </c>
      <c r="F128" s="111">
        <v>6212</v>
      </c>
      <c r="G128" s="111">
        <f aca="true" t="shared" si="41" ref="G128:M128">2388*2.6+1</f>
        <v>6209.8</v>
      </c>
      <c r="H128" s="111">
        <f t="shared" si="41"/>
        <v>6209.8</v>
      </c>
      <c r="I128" s="111">
        <f t="shared" si="41"/>
        <v>6209.8</v>
      </c>
      <c r="J128" s="111">
        <f t="shared" si="41"/>
        <v>6209.8</v>
      </c>
      <c r="K128" s="111">
        <f t="shared" si="41"/>
        <v>6209.8</v>
      </c>
      <c r="L128" s="111">
        <f t="shared" si="41"/>
        <v>6209.8</v>
      </c>
      <c r="M128" s="111">
        <f t="shared" si="41"/>
        <v>6209.8</v>
      </c>
    </row>
    <row r="129" spans="1:13" ht="63.75">
      <c r="A129" s="150" t="s">
        <v>350</v>
      </c>
      <c r="B129" s="149" t="s">
        <v>266</v>
      </c>
      <c r="C129" s="102" t="s">
        <v>205</v>
      </c>
      <c r="D129" s="25">
        <f>D130/D131*100</f>
        <v>5.839416058394161</v>
      </c>
      <c r="E129" s="25">
        <f aca="true" t="shared" si="42" ref="E129:J129">E130/E131*100</f>
        <v>7.352941176470589</v>
      </c>
      <c r="F129" s="25">
        <f t="shared" si="42"/>
        <v>6.25</v>
      </c>
      <c r="G129" s="25">
        <f t="shared" si="42"/>
        <v>5.844155844155844</v>
      </c>
      <c r="H129" s="25">
        <f t="shared" si="42"/>
        <v>14.482758620689657</v>
      </c>
      <c r="I129" s="25">
        <f t="shared" si="42"/>
        <v>7.2992700729927</v>
      </c>
      <c r="J129" s="25">
        <f t="shared" si="42"/>
        <v>7.751937984496124</v>
      </c>
      <c r="K129" s="25">
        <f>K130/K131*100</f>
        <v>7.751937984496124</v>
      </c>
      <c r="L129" s="25">
        <f>L130/L131*100</f>
        <v>7.751937984496124</v>
      </c>
      <c r="M129" s="25">
        <f>M130/M131*100</f>
        <v>7.751937984496124</v>
      </c>
    </row>
    <row r="130" spans="1:13" ht="38.25">
      <c r="A130" s="150"/>
      <c r="B130" s="149"/>
      <c r="C130" s="102" t="s">
        <v>206</v>
      </c>
      <c r="D130" s="27">
        <v>8</v>
      </c>
      <c r="E130" s="21">
        <f>прил_4!J334</f>
        <v>10</v>
      </c>
      <c r="F130" s="21">
        <v>13</v>
      </c>
      <c r="G130" s="21">
        <f>прил_4!L334</f>
        <v>9</v>
      </c>
      <c r="H130" s="21">
        <v>21</v>
      </c>
      <c r="I130" s="21">
        <f>прил_4!N334</f>
        <v>10</v>
      </c>
      <c r="J130" s="21">
        <f>прил_4!O334</f>
        <v>10</v>
      </c>
      <c r="K130" s="21">
        <f>прил_4!P334</f>
        <v>10</v>
      </c>
      <c r="L130" s="21">
        <f>прил_4!Q334</f>
        <v>10</v>
      </c>
      <c r="M130" s="21">
        <f>прил_4!R334</f>
        <v>10</v>
      </c>
    </row>
    <row r="131" spans="1:13" ht="38.25">
      <c r="A131" s="150"/>
      <c r="B131" s="149"/>
      <c r="C131" s="102" t="s">
        <v>207</v>
      </c>
      <c r="D131" s="27" t="s">
        <v>208</v>
      </c>
      <c r="E131" s="27">
        <v>136</v>
      </c>
      <c r="F131" s="27">
        <v>208</v>
      </c>
      <c r="G131" s="27">
        <f>163-9</f>
        <v>154</v>
      </c>
      <c r="H131" s="27">
        <v>145</v>
      </c>
      <c r="I131" s="27">
        <v>137</v>
      </c>
      <c r="J131" s="27">
        <v>129</v>
      </c>
      <c r="K131" s="27">
        <v>129</v>
      </c>
      <c r="L131" s="27">
        <v>129</v>
      </c>
      <c r="M131" s="27">
        <v>129</v>
      </c>
    </row>
    <row r="132" ht="12.75"/>
    <row r="133" ht="15.75">
      <c r="C133" s="82"/>
    </row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</sheetData>
  <sheetProtection/>
  <mergeCells count="64">
    <mergeCell ref="A1:J3"/>
    <mergeCell ref="A11:A13"/>
    <mergeCell ref="B11:B13"/>
    <mergeCell ref="C11:C13"/>
    <mergeCell ref="D11:J11"/>
    <mergeCell ref="B66:B68"/>
    <mergeCell ref="A6:J9"/>
    <mergeCell ref="A16:A18"/>
    <mergeCell ref="B16:B18"/>
    <mergeCell ref="B19:B21"/>
    <mergeCell ref="A22:A34"/>
    <mergeCell ref="A19:A21"/>
    <mergeCell ref="B35:B37"/>
    <mergeCell ref="A129:A131"/>
    <mergeCell ref="B129:B131"/>
    <mergeCell ref="A116:J116"/>
    <mergeCell ref="A117:A119"/>
    <mergeCell ref="B117:B119"/>
    <mergeCell ref="A120:A122"/>
    <mergeCell ref="B120:B122"/>
    <mergeCell ref="A126:A128"/>
    <mergeCell ref="B126:B128"/>
    <mergeCell ref="A123:A125"/>
    <mergeCell ref="B22:B34"/>
    <mergeCell ref="A38:A40"/>
    <mergeCell ref="A35:A37"/>
    <mergeCell ref="A109:J109"/>
    <mergeCell ref="A103:A105"/>
    <mergeCell ref="B106:B108"/>
    <mergeCell ref="A41:A46"/>
    <mergeCell ref="N101:N102"/>
    <mergeCell ref="B63:B65"/>
    <mergeCell ref="A76:A79"/>
    <mergeCell ref="B76:B79"/>
    <mergeCell ref="B83:B89"/>
    <mergeCell ref="A90:A95"/>
    <mergeCell ref="B90:B95"/>
    <mergeCell ref="A83:A89"/>
    <mergeCell ref="B69:B71"/>
    <mergeCell ref="A69:A71"/>
    <mergeCell ref="B38:B40"/>
    <mergeCell ref="B41:B46"/>
    <mergeCell ref="A62:J62"/>
    <mergeCell ref="B47:B61"/>
    <mergeCell ref="A47:A61"/>
    <mergeCell ref="A66:A68"/>
    <mergeCell ref="A63:A65"/>
    <mergeCell ref="A72:A74"/>
    <mergeCell ref="B72:B74"/>
    <mergeCell ref="B80:B82"/>
    <mergeCell ref="B103:B105"/>
    <mergeCell ref="B100:B102"/>
    <mergeCell ref="A75:J75"/>
    <mergeCell ref="A80:A82"/>
    <mergeCell ref="A100:A102"/>
    <mergeCell ref="A96:J96"/>
    <mergeCell ref="A97:A99"/>
    <mergeCell ref="B97:B99"/>
    <mergeCell ref="B123:B125"/>
    <mergeCell ref="A110:A112"/>
    <mergeCell ref="B110:B112"/>
    <mergeCell ref="A113:A115"/>
    <mergeCell ref="B113:B115"/>
    <mergeCell ref="A106:A108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Завацкая Мария Владимировна</cp:lastModifiedBy>
  <cp:lastPrinted>2019-11-13T06:12:22Z</cp:lastPrinted>
  <dcterms:created xsi:type="dcterms:W3CDTF">2013-08-06T09:39:13Z</dcterms:created>
  <dcterms:modified xsi:type="dcterms:W3CDTF">2019-12-19T09:36:11Z</dcterms:modified>
  <cp:category/>
  <cp:version/>
  <cp:contentType/>
  <cp:contentStatus/>
</cp:coreProperties>
</file>