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0" yWindow="65401" windowWidth="15270" windowHeight="11760" activeTab="0"/>
  </bookViews>
  <sheets>
    <sheet name="Приложение 4" sheetId="1" r:id="rId1"/>
  </sheets>
  <definedNames>
    <definedName name="Z_02E18E82_FCD4_470A_A303_CE97954A44A1_.wvu.FilterData" localSheetId="0" hidden="1">'Приложение 4'!$A$7:$AU$7</definedName>
    <definedName name="Z_0F35487D_C2A3_472E_A7BB_504D7AF9E743_.wvu.FilterData" localSheetId="0" hidden="1">'Приложение 4'!$A$7:$AU$7</definedName>
    <definedName name="Z_0F35487D_C2A3_472E_A7BB_504D7AF9E743_.wvu.PrintArea" localSheetId="0" hidden="1">'Приложение 4'!$L$61</definedName>
    <definedName name="Z_1C3B5D4E_9CBC_4DC2_99F5_6CA6BB13F750_.wvu.FilterData" localSheetId="0" hidden="1">'Приложение 4'!$A$7:$AU$7</definedName>
    <definedName name="Z_1C3B5D4E_9CBC_4DC2_99F5_6CA6BB13F750_.wvu.PrintArea" localSheetId="0" hidden="1">'Приложение 4'!$L$61</definedName>
    <definedName name="Z_1E7EE646_3A9F_439B_B15A_26DE47CC1A0F_.wvu.FilterData" localSheetId="0" hidden="1">'Приложение 4'!$A$7:$AU$7</definedName>
    <definedName name="Z_20EFA02D_AF47_45A0_B1D8_A8A7B5D62B16_.wvu.FilterData" localSheetId="0" hidden="1">'Приложение 4'!$A$7:$AU$7</definedName>
    <definedName name="Z_20EFA02D_AF47_45A0_B1D8_A8A7B5D62B16_.wvu.PrintArea" localSheetId="0" hidden="1">'Приложение 4'!$L$61</definedName>
    <definedName name="Z_3D1AB7C9_470F_4B87_845C_7F9280365637_.wvu.FilterData" localSheetId="0" hidden="1">'Приложение 4'!$A$7:$AU$7</definedName>
    <definedName name="Z_46B960B4_AC0E_425E_8C85_3F0E28D7E163_.wvu.Cols" localSheetId="0" hidden="1">'Приложение 4'!$N:$N,'Приложение 4'!$P:$P,'Приложение 4'!$W:$X</definedName>
    <definedName name="Z_46B960B4_AC0E_425E_8C85_3F0E28D7E163_.wvu.FilterData" localSheetId="0" hidden="1">'Приложение 4'!$A$7:$AU$7</definedName>
    <definedName name="Z_4E2077D0_B015_4191_BE0E_FCBAE43CF836_.wvu.FilterData" localSheetId="0" hidden="1">'Приложение 4'!$A$7:$AU$7</definedName>
    <definedName name="Z_8B365B34_612E_4FF9_95C5_E737E175F653_.wvu.FilterData" localSheetId="0" hidden="1">'Приложение 4'!$A$7:$AU$7</definedName>
    <definedName name="Z_8B365B34_612E_4FF9_95C5_E737E175F653_.wvu.PrintArea" localSheetId="0" hidden="1">'Приложение 4'!$L$61</definedName>
    <definedName name="Z_A327190F_BF3D_4065_9A09_96A02DA82CA9_.wvu.FilterData" localSheetId="0" hidden="1">'Приложение 4'!$A$7:$AU$7</definedName>
    <definedName name="Z_B179F238_C88A_4619_9864_32BBFC39B41A_.wvu.FilterData" localSheetId="0" hidden="1">'Приложение 4'!$A$7:$AU$7</definedName>
    <definedName name="Z_E6AFCAEF_FE79_42D8_AF92_7B3F1F1523F7_.wvu.FilterData" localSheetId="0" hidden="1">'Приложение 4'!$A$7:$AU$7</definedName>
    <definedName name="Z_E6AFCAEF_FE79_42D8_AF92_7B3F1F1523F7_.wvu.PrintArea" localSheetId="0" hidden="1">'Приложение 4'!$L$61</definedName>
    <definedName name="Z_E6AFCAEF_FE79_42D8_AF92_7B3F1F1523F7_.wvu.Rows" localSheetId="0" hidden="1">'Приложение 4'!#REF!</definedName>
    <definedName name="Z_E88BCD66_9726_4C2B_96A8_C90A7D306BC6_.wvu.FilterData" localSheetId="0" hidden="1">'Приложение 4'!$A$7:$AU$7</definedName>
    <definedName name="Z_F200DE87_E8EF_4B86_A198_7912AE147780_.wvu.FilterData" localSheetId="0" hidden="1">'Приложение 4'!$A$7:$AU$7</definedName>
    <definedName name="Z_FCD3E659_D2AC_4526_B7EF_C33AC90F2681_.wvu.FilterData" localSheetId="0" hidden="1">'Приложение 4'!$A$7:$AU$7</definedName>
  </definedNames>
  <calcPr fullCalcOnLoad="1" fullPrecision="0"/>
</workbook>
</file>

<file path=xl/comments1.xml><?xml version="1.0" encoding="utf-8"?>
<comments xmlns="http://schemas.openxmlformats.org/spreadsheetml/2006/main">
  <authors>
    <author>Надежда Н. Долгобородова</author>
  </authors>
  <commentList>
    <comment ref="R290" authorId="0">
      <text>
        <r>
          <rPr>
            <b/>
            <sz val="8"/>
            <rFont val="Tahoma"/>
            <family val="0"/>
          </rPr>
          <t>Надежда Н. Долгобородова:</t>
        </r>
        <r>
          <rPr>
            <sz val="8"/>
            <rFont val="Tahoma"/>
            <family val="0"/>
          </rPr>
          <t xml:space="preserve">
1,800</t>
        </r>
      </text>
    </comment>
    <comment ref="R291" authorId="0">
      <text>
        <r>
          <rPr>
            <b/>
            <sz val="8"/>
            <rFont val="Tahoma"/>
            <family val="0"/>
          </rPr>
          <t>Надежда Н. Долгобородова:</t>
        </r>
        <r>
          <rPr>
            <sz val="8"/>
            <rFont val="Tahoma"/>
            <family val="0"/>
          </rPr>
          <t xml:space="preserve">
4,800</t>
        </r>
      </text>
    </comment>
    <comment ref="R294" authorId="0">
      <text>
        <r>
          <rPr>
            <b/>
            <sz val="8"/>
            <rFont val="Tahoma"/>
            <family val="0"/>
          </rPr>
          <t>Надежда Н. Долгобородова:</t>
        </r>
        <r>
          <rPr>
            <sz val="8"/>
            <rFont val="Tahoma"/>
            <family val="0"/>
          </rPr>
          <t xml:space="preserve">
9,500</t>
        </r>
      </text>
    </comment>
    <comment ref="R295" authorId="0">
      <text>
        <r>
          <rPr>
            <b/>
            <sz val="8"/>
            <rFont val="Tahoma"/>
            <family val="0"/>
          </rPr>
          <t>Надежда Н. Долгобородова:</t>
        </r>
        <r>
          <rPr>
            <sz val="8"/>
            <rFont val="Tahoma"/>
            <family val="0"/>
          </rPr>
          <t xml:space="preserve">
15,00=4079</t>
        </r>
      </text>
    </comment>
  </commentList>
</comments>
</file>

<file path=xl/sharedStrings.xml><?xml version="1.0" encoding="utf-8"?>
<sst xmlns="http://schemas.openxmlformats.org/spreadsheetml/2006/main" count="1873" uniqueCount="426">
  <si>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</si>
  <si>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</si>
  <si>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</si>
  <si>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</si>
  <si>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</si>
  <si>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</si>
  <si>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</si>
  <si>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</si>
  <si>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</si>
  <si>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</si>
  <si>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</si>
  <si>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</si>
  <si>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</si>
  <si>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</si>
  <si>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</si>
  <si>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</si>
  <si>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</si>
  <si>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</si>
  <si>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</si>
  <si>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</si>
  <si>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</si>
  <si>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</si>
  <si>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</si>
  <si>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</si>
  <si>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</si>
  <si>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>Показатель 4. Площадь благоустроенной территории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</si>
  <si>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</si>
  <si>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</si>
  <si>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</si>
  <si>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</si>
  <si>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</si>
  <si>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</si>
  <si>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Показатель 4. Количество учреждений оборудованных игровыми площадками</t>
  </si>
  <si>
    <t>Показатель 3. Количество работников муниципальных образовательных организаций, прошедших психиатрическое освидетельствование</t>
  </si>
  <si>
    <t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сигнализации, охранных систем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</si>
  <si>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</si>
  <si>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</si>
  <si>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</si>
  <si>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</si>
  <si>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</si>
  <si>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</si>
  <si>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</si>
  <si>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</si>
  <si>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</si>
  <si>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</si>
  <si>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</si>
  <si>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</si>
  <si>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</si>
  <si>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</si>
  <si>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</si>
  <si>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</si>
  <si>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</si>
  <si>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2.Количество лабораторий технического творчества и естественных наук, оснащенных современным оборудованием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</si>
  <si>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</si>
  <si>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</si>
  <si>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</si>
  <si>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</si>
  <si>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</si>
  <si>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</si>
  <si>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</si>
  <si>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1.01. Расходы на содержание органов Администрации Северодвинска и обеспечение их функций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</si>
  <si>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</si>
  <si>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</si>
  <si>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</si>
  <si>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</si>
  <si>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</si>
  <si>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</si>
  <si>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</si>
  <si>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</si>
  <si>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</si>
  <si>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</si>
  <si>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</si>
  <si>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</si>
  <si>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</si>
  <si>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</si>
  <si>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</si>
  <si>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</si>
  <si>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</si>
  <si>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</si>
  <si>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</si>
  <si>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</si>
  <si>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</si>
  <si>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</si>
  <si>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</si>
  <si>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</si>
  <si>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</si>
  <si>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</si>
  <si>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</si>
  <si>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</si>
  <si>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</si>
  <si>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</si>
  <si>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</si>
  <si>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Административное мероприятие  3.01. Организация деятельности школы молодого педагога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</si>
  <si>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</si>
  <si>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</si>
  <si>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</si>
  <si>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</si>
  <si>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</si>
  <si>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</si>
  <si>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</si>
  <si>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</si>
  <si>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</si>
  <si>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</si>
  <si>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</si>
  <si>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</si>
  <si>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</si>
  <si>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</si>
  <si>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Подпрограмма «Развитие дошкольного, общего и дополнительного образования детей»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</si>
  <si>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</si>
  <si>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</si>
  <si>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</si>
  <si>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</si>
  <si>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</si>
  <si>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</si>
  <si>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5. Численность обучающихся, прошедших спортивную подготовку</t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</si>
  <si>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</si>
  <si>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</si>
  <si>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</si>
  <si>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</si>
  <si>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</si>
  <si>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</si>
  <si>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</si>
  <si>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 xml:space="preserve">%, не менее </t>
  </si>
  <si>
    <t>Показатель 2. Количество объектов муниципальных организаций, оснащенных системами видеонаблюдения</t>
  </si>
  <si>
    <t>Показатель 6. Количество объектов муниципальных организаций, в которых проведена модернизация систем видеонаблюдения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</si>
  <si>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</si>
  <si>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</si>
  <si>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Показатель 7. Средняя численность работников образовательных организаций, реализующих дошкольное образование, которым предоставлена  доплата  до минимального размера, установленного законодательством</t>
  </si>
  <si>
    <t>Показатель 6. Средняя численность работников общеобразовательных организаций, которым предоставлена  доплата  до минимального размера, установленного законодательством</t>
  </si>
  <si>
    <t>Показатель 4.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</si>
  <si>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5.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</si>
  <si>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Подпрограмма «Формирование комфортной и безопасной образовательной среды»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</si>
  <si>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</si>
  <si>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</si>
  <si>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</si>
  <si>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</si>
  <si>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</si>
  <si>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</si>
  <si>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</si>
  <si>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</si>
  <si>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</si>
  <si>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</si>
  <si>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</si>
  <si>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</si>
  <si>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</si>
  <si>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</si>
  <si>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</si>
  <si>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</si>
  <si>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</si>
  <si>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</si>
  <si>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</si>
  <si>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</si>
  <si>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</si>
  <si>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</si>
  <si>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</si>
  <si>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</si>
  <si>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</si>
  <si>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</si>
  <si>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</si>
  <si>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</si>
  <si>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</si>
  <si>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</si>
  <si>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</si>
  <si>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</si>
  <si>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</si>
  <si>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</si>
  <si>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</si>
  <si>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</si>
  <si>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</si>
  <si>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</si>
  <si>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</si>
  <si>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</si>
  <si>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</si>
  <si>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</si>
  <si>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</si>
  <si>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</si>
  <si>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</si>
  <si>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</si>
  <si>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</si>
  <si>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</si>
  <si>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</si>
  <si>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</si>
  <si>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</si>
  <si>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</si>
  <si>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</si>
  <si>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</si>
  <si>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</si>
  <si>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</si>
  <si>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</si>
  <si>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</si>
  <si>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</si>
  <si>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</si>
  <si>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</si>
  <si>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</si>
  <si>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</si>
  <si>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</si>
  <si>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</si>
  <si>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</si>
  <si>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</si>
  <si>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</si>
  <si>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</si>
  <si>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</si>
  <si>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</si>
  <si>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</si>
  <si>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</si>
  <si>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</si>
  <si>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</si>
  <si>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</si>
  <si>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</si>
  <si>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2. Административные мероприятия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</si>
  <si>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</si>
  <si>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</si>
  <si>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</si>
  <si>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</si>
  <si>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</si>
  <si>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</si>
  <si>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</si>
  <si>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</si>
  <si>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</si>
  <si>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Административное мероприятие  9.01. Формирование и утверждение муниципального задания МБОУ  ЦППМСП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</si>
  <si>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</si>
  <si>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</si>
  <si>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</si>
  <si>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>Показатель 3. Число детей, охваченных деятельностью детского технопарка "Кванториум" (мобильного технопарка "Кванториум") и других проектов, направленных на обеспечение доступности дополнительных образовательных программ естественнонаучной и технической направленности</t>
  </si>
  <si>
    <t>человек, не менее</t>
  </si>
  <si>
    <t>Показатель 4. Количество специальных транспортных средств осуществляющих перезвозку  детей</t>
  </si>
  <si>
    <t>Показатель 2. Количество оборудования, приобретенного для объединений судомоделирования  и радиоконструирования МАОУДО  «Северный Кванториум»</t>
  </si>
  <si>
    <t>Показатель 3. Количество выездов команды МАОУДО  «Северный Кванториум» на российские соревнования по судомоделированию</t>
  </si>
  <si>
    <t>Показатель 5. Оказание услуг по предоставлению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</si>
  <si>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7.Оказание услуг по предоставлению крытого хоккейного корта с искусственным льдом</t>
  </si>
  <si>
    <t>Показатель 2. Количество структурных подразделений общеобразовательных организаций, оснащённых компьютерной техникой, медицинским оборудованием, мебелью, мягким инвентарем, материалами ежегодно</t>
  </si>
  <si>
    <t>Показатель 9. Количество разработанных проектов на выполнение работ связанных с системы отопления</t>
  </si>
  <si>
    <t xml:space="preserve">Показатель 4. Количество мероприятий, проведенных на базе муниципальных образовательных организаций по профилактике детского дорожно-транспортного травматизма и безопасности дорожного движения </t>
  </si>
  <si>
    <t>Мероприятие 4.04.  Проведение мероприятий по безопасности дорожного движения и профилактике детского дорожно-транспортного травматизма</t>
  </si>
  <si>
    <t>Показатель 1. Количество обучающихся образовательных организаций, принявших участие в мероприятиях по безопасности дорожного движения и профилактике детского дорожно-транспортного травматизма</t>
  </si>
  <si>
    <t>Показатель 2. Количество световозвращающих элементов, приобретенных для обучающихся муниципальных образовательных организаций</t>
  </si>
  <si>
    <t xml:space="preserve">Показатель 5. Количество установленного игрового оборудования и леерного ограждения на территории муниципальных образовательных организаций, реализующих программы дошкольного образования </t>
  </si>
  <si>
    <t>Показатель 1. Количество зданий муниципальных образовательных организаций, на которых проведено усиление строительных конструкций</t>
  </si>
  <si>
    <t>Показатель 3. Доля муниципальных образовательных организаций, в которых проведены работы по усилению конструкций зданий</t>
  </si>
  <si>
    <t>Показатель 3.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усилению конструкций зданий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</si>
  <si>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</si>
  <si>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</si>
  <si>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</si>
  <si>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</si>
  <si>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</si>
  <si>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</si>
  <si>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</si>
  <si>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</si>
  <si>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</si>
  <si>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</si>
  <si>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</si>
  <si>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</si>
  <si>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</si>
  <si>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</si>
  <si>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</si>
  <si>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</si>
  <si>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</si>
  <si>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</si>
  <si>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</si>
  <si>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</si>
  <si>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</si>
  <si>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</si>
  <si>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8. Удовлетворенность родителей качеством общего и дополнительного образования детей в муниципальных образовательных организациях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</si>
  <si>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</si>
  <si>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 xml:space="preserve">Административное мероприятие 1.01. Формирование и утверждение нормативных затрат МКУ ЦОФООС на выполнение муниципальных функций </t>
  </si>
  <si>
    <t>Показатель 3. Доля обучающихся, вовлеченных  во внеурочное время в трудовую, общественно-полезную деятельность, в общей численности обучающихся</t>
  </si>
  <si>
    <t>Показатель 1. Степень выполнения  плана мероприятий по организации воспитания и социализации обучающихся ежегодно</t>
  </si>
  <si>
    <t>Показатель 2. Степень выполнения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</si>
  <si>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3. Доля обучающихся, задействованных в системе мероприятий по выявлению и поддержке одаренных (талантливых) детей , в общей численности обучающихся</t>
  </si>
  <si>
    <t>Показатель 4. Количество оказанных услуг психолого-педагогической, медицинской и консультативной помощи родителям (законным представителям)</t>
  </si>
  <si>
    <t>Показатель 3. Доля работников муниципальных образовательных организаций, прошедших психиатрическое освидетельствование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</si>
  <si>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</si>
  <si>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</si>
  <si>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</si>
  <si>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</si>
  <si>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</si>
  <si>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</si>
  <si>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</si>
  <si>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</si>
  <si>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</si>
  <si>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</si>
  <si>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</si>
  <si>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</si>
  <si>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</si>
  <si>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</si>
  <si>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</si>
  <si>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</si>
  <si>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</si>
  <si>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</si>
  <si>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</si>
  <si>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</si>
  <si>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</si>
  <si>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</si>
  <si>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</si>
  <si>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</si>
  <si>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</si>
  <si>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</si>
  <si>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</si>
  <si>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</si>
  <si>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</si>
  <si>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</si>
  <si>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</si>
  <si>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</si>
  <si>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</si>
  <si>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</si>
  <si>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</si>
  <si>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</si>
  <si>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</si>
  <si>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</si>
  <si>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</si>
  <si>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</si>
  <si>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</si>
  <si>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</si>
  <si>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</si>
  <si>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</si>
  <si>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</si>
  <si>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</si>
  <si>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</si>
  <si>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</si>
  <si>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</si>
  <si>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</si>
  <si>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</si>
  <si>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</si>
  <si>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</si>
  <si>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</si>
  <si>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</si>
  <si>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</si>
  <si>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</si>
  <si>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</si>
  <si>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</si>
  <si>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</si>
  <si>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</si>
  <si>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</si>
  <si>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</si>
  <si>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</si>
  <si>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</si>
  <si>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</si>
  <si>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</si>
  <si>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</si>
  <si>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</si>
  <si>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</si>
  <si>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</si>
  <si>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</si>
  <si>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</si>
  <si>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</si>
  <si>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</si>
  <si>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</si>
  <si>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</si>
  <si>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</si>
  <si>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</si>
  <si>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</si>
  <si>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</si>
  <si>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</si>
  <si>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</si>
  <si>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2020 БЫЛО</t>
  </si>
  <si>
    <t>2021 БЫЛО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</si>
  <si>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</si>
  <si>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</si>
  <si>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</si>
  <si>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</si>
  <si>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</si>
  <si>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</si>
  <si>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</si>
  <si>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</si>
  <si>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</si>
  <si>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</si>
  <si>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t xml:space="preserve">Показатель 1. Количество дверей 0,6 часа степени огнестойкости, установленных в пожароопасных помещениях 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</si>
  <si>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</si>
  <si>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</si>
  <si>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</si>
  <si>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отклонения 2020</t>
  </si>
  <si>
    <t>Характеристика муниципальной программы «Развитие образования Северодвинска»</t>
  </si>
  <si>
    <t>Муниципальная программа «Развитие образования Северодвинска»</t>
  </si>
  <si>
    <t>Ответственный исполнитель — Управление образования Администрации Северодвинска.</t>
  </si>
  <si>
    <r>
      <t xml:space="preserve">Приложение 4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«Развитие образования Северодвинска»,                                                                                                         утвержденной постановлением                                                                                                                                                                                             Администрации Северодвинска                                                                                                                                         от 09.03.2016 № 58-па                                                                                                                                                             (в редакции от </t>
    </r>
    <r>
      <rPr>
        <u val="single"/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 xml:space="preserve"> )      </t>
    </r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</si>
  <si>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</si>
  <si>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r>
      <t>Мероприятие 1.03</t>
    </r>
    <r>
      <rPr>
        <sz val="10"/>
        <color indexed="8"/>
        <rFont val="Times New Roman"/>
        <family val="1"/>
      </rPr>
      <t>.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  </r>
  </si>
  <si>
    <r>
      <t xml:space="preserve">Мероприятие 1.04. </t>
    </r>
    <r>
      <rPr>
        <sz val="10"/>
        <color indexed="8"/>
        <rFont val="Times New Roman"/>
        <family val="1"/>
      </rPr>
      <t>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</si>
  <si>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1.05.</t>
    </r>
    <r>
      <rPr>
        <sz val="10"/>
        <color indexed="8"/>
        <rFont val="Times New Roman"/>
        <family val="1"/>
      </rPr>
      <t xml:space="preserve">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</si>
  <si>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r>
      <t>Мероприятие 1.06.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</si>
  <si>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</si>
  <si>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</si>
  <si>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 обучающихся в общеобразовательных организациях</t>
    </r>
  </si>
  <si>
    <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</si>
  <si>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</si>
  <si>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</si>
  <si>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t xml:space="preserve">Мероприятие 3.04. </t>
    </r>
    <r>
      <rPr>
        <sz val="10"/>
        <color indexed="8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</si>
  <si>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развитие воспитания и социализацию обучающихся</t>
    </r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</si>
  <si>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</si>
  <si>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</si>
  <si>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</si>
  <si>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</si>
  <si>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</si>
  <si>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</si>
  <si>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</si>
  <si>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</si>
  <si>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</si>
  <si>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r>
      <t xml:space="preserve">Мероприятие 9.02. </t>
    </r>
    <r>
      <rPr>
        <sz val="10"/>
        <color indexed="8"/>
        <rFont val="Times New Roman"/>
        <family val="1"/>
      </rPr>
      <t>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</si>
  <si>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</si>
  <si>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</si>
  <si>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</si>
  <si>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</si>
  <si>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усиление строительных конструкций зданий муниципальных 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</si>
  <si>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</si>
  <si>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t>Мероприятие 3.03.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спортивных сооружений муниципальных образовательных организаций</t>
    </r>
  </si>
  <si>
    <r>
      <t>Мероприятие 3.04.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</si>
  <si>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</si>
  <si>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</si>
  <si>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t>Мероприятие 3.07</t>
    </r>
    <r>
      <rPr>
        <sz val="10"/>
        <color indexed="8"/>
        <rFont val="Times New Roman"/>
        <family val="1"/>
      </rPr>
      <t>. Выполнение работ по комплексному ремонту помещений зданий муниципальных образовательных организаций</t>
    </r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</si>
  <si>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</si>
  <si>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r>
      <t xml:space="preserve">Мероприятие 1.03. </t>
    </r>
    <r>
      <rPr>
        <sz val="10"/>
        <color indexed="8"/>
        <rFont val="Times New Roman"/>
        <family val="1"/>
      </rPr>
      <t>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</si>
  <si>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уровня благоустройства территорий муниципальных образовательных организаций</t>
    </r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</si>
  <si>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</si>
  <si>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r>
      <t xml:space="preserve">Мероприятие 3.02. </t>
    </r>
    <r>
      <rPr>
        <sz val="10"/>
        <color indexed="8"/>
        <rFont val="Times New Roman"/>
        <family val="1"/>
      </rPr>
      <t>Обеспечение дублирования сигнала о возникновении пожара на пульт подразделения пожарной охраны</t>
    </r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</si>
  <si>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</si>
  <si>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повышение защищенности территории и зданий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</si>
  <si>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</si>
  <si>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</si>
  <si>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</si>
  <si>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развитие инновационной деятельности в сфере образования Северодвинска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</si>
  <si>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развитие информационной образовательной среды</t>
    </r>
  </si>
  <si>
    <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</si>
  <si>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>Мероприятие 3.03.</t>
    </r>
    <r>
      <rPr>
        <sz val="10"/>
        <color indexed="8"/>
        <rFont val="Times New Roman"/>
        <family val="1"/>
      </rPr>
      <t xml:space="preserve">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</si>
  <si>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</si>
  <si>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r>
      <t>Мероприятие 3.05.</t>
    </r>
    <r>
      <rPr>
        <sz val="10"/>
        <color indexed="8"/>
        <rFont val="Times New Roman"/>
        <family val="1"/>
      </rPr>
      <t>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</si>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</sst>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  <numFmt numFmtId="192" formatCode="_-* #,##0.0\ _₽_-;\-* #,##0.0\ _₽_-;_-* &quot;-&quot;?\ _₽_-;_-@_-"/>
    <numFmt numFmtId="193" formatCode="#,##0_ ;[Red]\-#,##0\ "/>
    <numFmt numFmtId="194" formatCode="[$-FC19]d\ mmmm\ yyyy\ &quot;г.&quot;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4" fontId="2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72" fontId="7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172" fontId="2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34" borderId="10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172" fontId="51" fillId="36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172" fontId="51" fillId="35" borderId="10" xfId="0" applyNumberFormat="1" applyFont="1" applyFill="1" applyBorder="1" applyAlignment="1">
      <alignment horizontal="center" vertical="center" wrapText="1"/>
    </xf>
    <xf numFmtId="172" fontId="50" fillId="35" borderId="10" xfId="0" applyNumberFormat="1" applyFont="1" applyFill="1" applyBorder="1" applyAlignment="1">
      <alignment horizontal="center" vertical="center" wrapText="1"/>
    </xf>
    <xf numFmtId="172" fontId="51" fillId="37" borderId="10" xfId="0" applyNumberFormat="1" applyFont="1" applyFill="1" applyBorder="1" applyAlignment="1">
      <alignment horizontal="center" vertical="center" wrapText="1"/>
    </xf>
    <xf numFmtId="3" fontId="51" fillId="32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172" fontId="50" fillId="37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172" fontId="50" fillId="32" borderId="10" xfId="0" applyNumberFormat="1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vertical="center" wrapText="1"/>
    </xf>
    <xf numFmtId="174" fontId="50" fillId="32" borderId="10" xfId="63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4" fontId="50" fillId="33" borderId="10" xfId="63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172" fontId="50" fillId="39" borderId="10" xfId="0" applyNumberFormat="1" applyFont="1" applyFill="1" applyBorder="1" applyAlignment="1">
      <alignment horizontal="center" vertical="center" wrapText="1"/>
    </xf>
    <xf numFmtId="172" fontId="51" fillId="38" borderId="10" xfId="0" applyNumberFormat="1" applyFont="1" applyFill="1" applyBorder="1" applyAlignment="1">
      <alignment horizontal="center" vertical="center" wrapText="1"/>
    </xf>
    <xf numFmtId="172" fontId="50" fillId="40" borderId="10" xfId="0" applyNumberFormat="1" applyFont="1" applyFill="1" applyBorder="1" applyAlignment="1">
      <alignment horizontal="center" vertical="center" wrapText="1"/>
    </xf>
    <xf numFmtId="172" fontId="50" fillId="38" borderId="10" xfId="0" applyNumberFormat="1" applyFont="1" applyFill="1" applyBorder="1" applyAlignment="1">
      <alignment horizontal="center" vertical="center" wrapText="1"/>
    </xf>
    <xf numFmtId="173" fontId="51" fillId="36" borderId="10" xfId="0" applyNumberFormat="1" applyFont="1" applyFill="1" applyBorder="1" applyAlignment="1">
      <alignment horizontal="center" vertical="center" wrapText="1"/>
    </xf>
    <xf numFmtId="172" fontId="50" fillId="36" borderId="10" xfId="0" applyNumberFormat="1" applyFont="1" applyFill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 horizontal="center" vertical="center" wrapText="1"/>
    </xf>
    <xf numFmtId="3" fontId="51" fillId="36" borderId="10" xfId="53" applyNumberFormat="1" applyFont="1" applyFill="1" applyBorder="1" applyAlignment="1">
      <alignment horizontal="center" vertical="center" wrapText="1"/>
      <protection/>
    </xf>
    <xf numFmtId="3" fontId="51" fillId="36" borderId="10" xfId="0" applyNumberFormat="1" applyFont="1" applyFill="1" applyBorder="1" applyAlignment="1">
      <alignment horizontal="center" vertical="center" wrapText="1"/>
    </xf>
    <xf numFmtId="174" fontId="50" fillId="36" borderId="10" xfId="63" applyNumberFormat="1" applyFont="1" applyFill="1" applyBorder="1" applyAlignment="1">
      <alignment horizontal="center" vertical="center" wrapText="1"/>
    </xf>
    <xf numFmtId="172" fontId="50" fillId="36" borderId="10" xfId="0" applyNumberFormat="1" applyFont="1" applyFill="1" applyBorder="1" applyAlignment="1">
      <alignment horizontal="center" vertical="center"/>
    </xf>
    <xf numFmtId="173" fontId="50" fillId="36" borderId="10" xfId="63" applyNumberFormat="1" applyFont="1" applyFill="1" applyBorder="1" applyAlignment="1">
      <alignment horizontal="center" vertical="center" wrapText="1"/>
    </xf>
    <xf numFmtId="0" fontId="51" fillId="36" borderId="10" xfId="0" applyNumberFormat="1" applyFont="1" applyFill="1" applyBorder="1" applyAlignment="1">
      <alignment horizontal="center" vertical="center" wrapText="1"/>
    </xf>
    <xf numFmtId="172" fontId="50" fillId="41" borderId="10" xfId="0" applyNumberFormat="1" applyFont="1" applyFill="1" applyBorder="1" applyAlignment="1">
      <alignment horizontal="center" vertical="center" wrapText="1"/>
    </xf>
    <xf numFmtId="172" fontId="50" fillId="36" borderId="10" xfId="63" applyNumberFormat="1" applyFont="1" applyFill="1" applyBorder="1" applyAlignment="1">
      <alignment horizontal="center" vertical="center" wrapText="1"/>
    </xf>
    <xf numFmtId="172" fontId="2" fillId="42" borderId="0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173" fontId="51" fillId="43" borderId="10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 vertical="center"/>
    </xf>
    <xf numFmtId="172" fontId="52" fillId="36" borderId="0" xfId="0" applyNumberFormat="1" applyFont="1" applyFill="1" applyBorder="1" applyAlignment="1">
      <alignment vertic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1" fontId="50" fillId="36" borderId="14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172" fontId="51" fillId="43" borderId="10" xfId="0" applyNumberFormat="1" applyFont="1" applyFill="1" applyBorder="1" applyAlignment="1">
      <alignment horizontal="center" vertical="center" wrapText="1"/>
    </xf>
    <xf numFmtId="0" fontId="51" fillId="43" borderId="10" xfId="0" applyFont="1" applyFill="1" applyBorder="1" applyAlignment="1">
      <alignment horizontal="center" vertical="center" wrapText="1"/>
    </xf>
    <xf numFmtId="172" fontId="51" fillId="44" borderId="10" xfId="0" applyNumberFormat="1" applyFont="1" applyFill="1" applyBorder="1" applyAlignment="1">
      <alignment horizontal="center" vertical="center" wrapText="1"/>
    </xf>
    <xf numFmtId="173" fontId="51" fillId="33" borderId="10" xfId="0" applyNumberFormat="1" applyFont="1" applyFill="1" applyBorder="1" applyAlignment="1">
      <alignment horizontal="center" vertical="center" wrapText="1"/>
    </xf>
    <xf numFmtId="3" fontId="51" fillId="38" borderId="10" xfId="0" applyNumberFormat="1" applyFont="1" applyFill="1" applyBorder="1" applyAlignment="1">
      <alignment horizontal="center" vertical="center" wrapText="1"/>
    </xf>
    <xf numFmtId="3" fontId="51" fillId="43" borderId="10" xfId="0" applyNumberFormat="1" applyFont="1" applyFill="1" applyBorder="1" applyAlignment="1">
      <alignment horizontal="center" vertical="center" wrapText="1"/>
    </xf>
    <xf numFmtId="173" fontId="51" fillId="32" borderId="10" xfId="0" applyNumberFormat="1" applyFont="1" applyFill="1" applyBorder="1" applyAlignment="1">
      <alignment horizontal="center" vertical="center" wrapText="1"/>
    </xf>
    <xf numFmtId="173" fontId="51" fillId="38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8" borderId="10" xfId="0" applyNumberFormat="1" applyFont="1" applyFill="1" applyBorder="1" applyAlignment="1">
      <alignment horizontal="center" vertical="center" wrapText="1"/>
    </xf>
    <xf numFmtId="1" fontId="51" fillId="36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8" borderId="10" xfId="0" applyNumberFormat="1" applyFont="1" applyFill="1" applyBorder="1" applyAlignment="1">
      <alignment horizontal="center" vertical="center" wrapText="1"/>
    </xf>
    <xf numFmtId="0" fontId="51" fillId="43" borderId="10" xfId="0" applyNumberFormat="1" applyFont="1" applyFill="1" applyBorder="1" applyAlignment="1">
      <alignment horizontal="center" vertical="center" wrapText="1"/>
    </xf>
    <xf numFmtId="1" fontId="51" fillId="44" borderId="10" xfId="0" applyNumberFormat="1" applyFont="1" applyFill="1" applyBorder="1" applyAlignment="1">
      <alignment horizontal="center" vertical="center" wrapText="1"/>
    </xf>
    <xf numFmtId="3" fontId="51" fillId="44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93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3" fontId="51" fillId="32" borderId="10" xfId="53" applyNumberFormat="1" applyFont="1" applyFill="1" applyBorder="1" applyAlignment="1">
      <alignment horizontal="center" vertical="center" wrapText="1"/>
      <protection/>
    </xf>
    <xf numFmtId="172" fontId="51" fillId="32" borderId="10" xfId="53" applyNumberFormat="1" applyFont="1" applyFill="1" applyBorder="1" applyAlignment="1">
      <alignment horizontal="center" vertical="center" wrapText="1"/>
      <protection/>
    </xf>
    <xf numFmtId="172" fontId="51" fillId="36" borderId="10" xfId="53" applyNumberFormat="1" applyFont="1" applyFill="1" applyBorder="1" applyAlignment="1">
      <alignment horizontal="center" vertical="center" wrapText="1"/>
      <protection/>
    </xf>
    <xf numFmtId="0" fontId="51" fillId="32" borderId="10" xfId="53" applyFont="1" applyFill="1" applyBorder="1" applyAlignment="1">
      <alignment horizontal="center" vertical="center" wrapText="1"/>
      <protection/>
    </xf>
    <xf numFmtId="1" fontId="51" fillId="32" borderId="10" xfId="0" applyNumberFormat="1" applyFont="1" applyFill="1" applyBorder="1" applyAlignment="1">
      <alignment horizontal="center" vertical="center" wrapText="1"/>
    </xf>
    <xf numFmtId="1" fontId="51" fillId="32" borderId="10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 vertical="center"/>
    </xf>
    <xf numFmtId="0" fontId="51" fillId="32" borderId="10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 vertical="center" wrapText="1"/>
    </xf>
    <xf numFmtId="3" fontId="51" fillId="35" borderId="10" xfId="53" applyNumberFormat="1" applyFont="1" applyFill="1" applyBorder="1" applyAlignment="1">
      <alignment horizontal="center" vertical="center" wrapText="1"/>
      <protection/>
    </xf>
    <xf numFmtId="174" fontId="50" fillId="32" borderId="10" xfId="63" applyNumberFormat="1" applyFont="1" applyFill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 wrapText="1"/>
    </xf>
    <xf numFmtId="172" fontId="51" fillId="33" borderId="10" xfId="53" applyNumberFormat="1" applyFont="1" applyFill="1" applyBorder="1" applyAlignment="1">
      <alignment horizontal="center" vertical="center" wrapText="1"/>
      <protection/>
    </xf>
    <xf numFmtId="0" fontId="51" fillId="33" borderId="10" xfId="53" applyFont="1" applyFill="1" applyBorder="1" applyAlignment="1">
      <alignment horizontal="center" vertical="center" wrapText="1"/>
      <protection/>
    </xf>
    <xf numFmtId="173" fontId="50" fillId="35" borderId="10" xfId="0" applyNumberFormat="1" applyFont="1" applyFill="1" applyBorder="1" applyAlignment="1">
      <alignment horizontal="center" vertical="center" wrapText="1"/>
    </xf>
    <xf numFmtId="3" fontId="51" fillId="32" borderId="10" xfId="0" applyNumberFormat="1" applyFont="1" applyFill="1" applyBorder="1" applyAlignment="1">
      <alignment horizontal="center" vertical="center"/>
    </xf>
    <xf numFmtId="3" fontId="51" fillId="36" borderId="10" xfId="0" applyNumberFormat="1" applyFont="1" applyFill="1" applyBorder="1" applyAlignment="1">
      <alignment horizontal="center" vertical="center"/>
    </xf>
    <xf numFmtId="172" fontId="51" fillId="32" borderId="10" xfId="0" applyNumberFormat="1" applyFont="1" applyFill="1" applyBorder="1" applyAlignment="1">
      <alignment horizontal="center" vertical="center"/>
    </xf>
    <xf numFmtId="173" fontId="51" fillId="36" borderId="10" xfId="0" applyNumberFormat="1" applyFont="1" applyFill="1" applyBorder="1" applyAlignment="1">
      <alignment horizontal="center" vertical="center"/>
    </xf>
    <xf numFmtId="172" fontId="51" fillId="36" borderId="10" xfId="0" applyNumberFormat="1" applyFont="1" applyFill="1" applyBorder="1" applyAlignment="1">
      <alignment horizontal="center" vertical="center"/>
    </xf>
    <xf numFmtId="172" fontId="50" fillId="32" borderId="10" xfId="63" applyNumberFormat="1" applyFont="1" applyFill="1" applyBorder="1" applyAlignment="1">
      <alignment horizontal="center" vertical="center" wrapText="1"/>
    </xf>
    <xf numFmtId="172" fontId="50" fillId="33" borderId="10" xfId="63" applyNumberFormat="1" applyFont="1" applyFill="1" applyBorder="1" applyAlignment="1">
      <alignment horizontal="center" vertical="center" wrapText="1"/>
    </xf>
    <xf numFmtId="173" fontId="50" fillId="32" borderId="10" xfId="63" applyNumberFormat="1" applyFont="1" applyFill="1" applyBorder="1" applyAlignment="1">
      <alignment horizontal="center" vertical="center" wrapText="1"/>
    </xf>
    <xf numFmtId="1" fontId="50" fillId="32" borderId="10" xfId="0" applyNumberFormat="1" applyFont="1" applyFill="1" applyBorder="1" applyAlignment="1">
      <alignment horizontal="center" vertical="center" wrapText="1"/>
    </xf>
    <xf numFmtId="0" fontId="51" fillId="32" borderId="10" xfId="0" applyNumberFormat="1" applyFont="1" applyFill="1" applyBorder="1" applyAlignment="1">
      <alignment horizontal="center" vertical="center" wrapText="1"/>
    </xf>
    <xf numFmtId="172" fontId="53" fillId="36" borderId="10" xfId="0" applyNumberFormat="1" applyFont="1" applyFill="1" applyBorder="1" applyAlignment="1">
      <alignment horizontal="center" vertical="center"/>
    </xf>
    <xf numFmtId="172" fontId="51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/>
    </xf>
    <xf numFmtId="172" fontId="51" fillId="36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/>
    </xf>
    <xf numFmtId="3" fontId="51" fillId="32" borderId="0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/>
    </xf>
    <xf numFmtId="0" fontId="51" fillId="32" borderId="15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1" fontId="50" fillId="36" borderId="16" xfId="0" applyNumberFormat="1" applyFont="1" applyFill="1" applyBorder="1" applyAlignment="1">
      <alignment horizontal="center" vertical="center" wrapText="1"/>
    </xf>
    <xf numFmtId="0" fontId="50" fillId="32" borderId="17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vertical="top" wrapText="1"/>
    </xf>
    <xf numFmtId="0" fontId="50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1" fillId="32" borderId="0" xfId="0" applyFont="1" applyFill="1" applyBorder="1" applyAlignment="1">
      <alignment/>
    </xf>
    <xf numFmtId="0" fontId="50" fillId="32" borderId="10" xfId="0" applyFont="1" applyFill="1" applyBorder="1" applyAlignment="1">
      <alignment horizontal="center" vertical="center" textRotation="90"/>
    </xf>
    <xf numFmtId="0" fontId="50" fillId="32" borderId="18" xfId="0" applyFont="1" applyFill="1" applyBorder="1" applyAlignment="1">
      <alignment horizontal="center" vertical="center" textRotation="90"/>
    </xf>
    <xf numFmtId="0" fontId="50" fillId="41" borderId="11" xfId="0" applyFont="1" applyFill="1" applyBorder="1" applyAlignment="1">
      <alignment horizontal="center" vertical="center" wrapText="1"/>
    </xf>
    <xf numFmtId="0" fontId="50" fillId="41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16" fontId="50" fillId="33" borderId="10" xfId="0" applyNumberFormat="1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top" wrapText="1"/>
    </xf>
    <xf numFmtId="0" fontId="50" fillId="32" borderId="19" xfId="0" applyFont="1" applyFill="1" applyBorder="1" applyAlignment="1">
      <alignment horizontal="center" vertical="center" wrapText="1"/>
    </xf>
    <xf numFmtId="0" fontId="51" fillId="32" borderId="18" xfId="0" applyFont="1" applyFill="1" applyBorder="1" applyAlignment="1">
      <alignment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vertical="center" wrapText="1"/>
    </xf>
    <xf numFmtId="0" fontId="51" fillId="32" borderId="10" xfId="53" applyFont="1" applyFill="1" applyBorder="1" applyAlignment="1">
      <alignment horizontal="left" vertical="center" wrapText="1"/>
      <protection/>
    </xf>
    <xf numFmtId="0" fontId="51" fillId="32" borderId="10" xfId="53" applyFont="1" applyFill="1" applyBorder="1" applyAlignment="1">
      <alignment vertical="center" wrapText="1"/>
      <protection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justify" vertical="center" wrapText="1"/>
    </xf>
    <xf numFmtId="0" fontId="55" fillId="35" borderId="10" xfId="0" applyFont="1" applyFill="1" applyBorder="1" applyAlignment="1">
      <alignment horizontal="center" vertical="center" wrapText="1"/>
    </xf>
    <xf numFmtId="173" fontId="50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vertical="top" wrapText="1"/>
    </xf>
    <xf numFmtId="16" fontId="50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left" vertical="top" wrapText="1"/>
    </xf>
    <xf numFmtId="1" fontId="50" fillId="36" borderId="16" xfId="0" applyNumberFormat="1" applyFont="1" applyFill="1" applyBorder="1" applyAlignment="1">
      <alignment horizontal="center" vertical="center" wrapText="1"/>
    </xf>
    <xf numFmtId="1" fontId="50" fillId="36" borderId="13" xfId="0" applyNumberFormat="1" applyFont="1" applyFill="1" applyBorder="1" applyAlignment="1">
      <alignment horizontal="center" vertical="center" wrapText="1"/>
    </xf>
    <xf numFmtId="1" fontId="50" fillId="36" borderId="18" xfId="0" applyNumberFormat="1" applyFont="1" applyFill="1" applyBorder="1" applyAlignment="1">
      <alignment horizontal="center" vertical="center" wrapText="1"/>
    </xf>
    <xf numFmtId="1" fontId="50" fillId="36" borderId="21" xfId="0" applyNumberFormat="1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24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center" wrapText="1"/>
    </xf>
    <xf numFmtId="0" fontId="50" fillId="32" borderId="25" xfId="0" applyFont="1" applyFill="1" applyBorder="1" applyAlignment="1">
      <alignment horizontal="center" vertical="center" wrapText="1"/>
    </xf>
    <xf numFmtId="0" fontId="50" fillId="32" borderId="24" xfId="0" applyFont="1" applyFill="1" applyBorder="1" applyAlignment="1">
      <alignment horizontal="center" vertical="center" textRotation="90" wrapText="1"/>
    </xf>
    <xf numFmtId="0" fontId="50" fillId="32" borderId="25" xfId="0" applyFont="1" applyFill="1" applyBorder="1" applyAlignment="1">
      <alignment horizontal="center" vertical="center" textRotation="90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27" xfId="0" applyFont="1" applyFill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textRotation="90" wrapText="1"/>
    </xf>
    <xf numFmtId="0" fontId="50" fillId="32" borderId="18" xfId="0" applyFont="1" applyFill="1" applyBorder="1" applyAlignment="1">
      <alignment horizontal="center" vertical="center" textRotation="90"/>
    </xf>
    <xf numFmtId="0" fontId="8" fillId="32" borderId="0" xfId="0" applyFont="1" applyFill="1" applyAlignment="1">
      <alignment horizontal="left" vertical="center"/>
    </xf>
    <xf numFmtId="1" fontId="50" fillId="33" borderId="16" xfId="0" applyNumberFormat="1" applyFont="1" applyFill="1" applyBorder="1" applyAlignment="1">
      <alignment horizontal="center" vertical="center" wrapText="1"/>
    </xf>
    <xf numFmtId="1" fontId="50" fillId="33" borderId="13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1" fontId="50" fillId="33" borderId="26" xfId="0" applyNumberFormat="1" applyFont="1" applyFill="1" applyBorder="1" applyAlignment="1">
      <alignment horizontal="center" vertical="center" wrapText="1"/>
    </xf>
    <xf numFmtId="1" fontId="50" fillId="36" borderId="28" xfId="0" applyNumberFormat="1" applyFont="1" applyFill="1" applyBorder="1" applyAlignment="1">
      <alignment horizontal="center" vertical="center" wrapText="1"/>
    </xf>
    <xf numFmtId="1" fontId="50" fillId="36" borderId="29" xfId="0" applyNumberFormat="1" applyFont="1" applyFill="1" applyBorder="1" applyAlignment="1">
      <alignment horizontal="center" vertical="center" wrapText="1"/>
    </xf>
    <xf numFmtId="0" fontId="50" fillId="32" borderId="17" xfId="0" applyFont="1" applyFill="1" applyBorder="1" applyAlignment="1">
      <alignment horizontal="center" vertical="center" wrapText="1"/>
    </xf>
    <xf numFmtId="0" fontId="50" fillId="32" borderId="3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по сессиям План реализации РО по учреждениям бюджет 2016-18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918"/>
  <sheetViews>
    <sheetView tabSelected="1" zoomScale="80" zoomScaleNormal="80" zoomScaleSheetLayoutView="100" zoomScalePageLayoutView="20" workbookViewId="0" topLeftCell="A514">
      <selection activeCell="V522" sqref="A1:V522"/>
    </sheetView>
  </sheetViews>
  <sheetFormatPr defaultColWidth="9.33203125" defaultRowHeight="12.75"/>
  <cols>
    <col min="1" max="2" width="4.33203125" style="2" customWidth="1"/>
    <col min="3" max="6" width="4.5" style="2" customWidth="1"/>
    <col min="7" max="7" width="6.33203125" style="2" customWidth="1"/>
    <col min="8" max="8" width="48.16015625" style="2" customWidth="1"/>
    <col min="9" max="10" width="16.33203125" style="2" customWidth="1"/>
    <col min="11" max="12" width="16.33203125" style="140" customWidth="1"/>
    <col min="13" max="13" width="18" style="146" customWidth="1"/>
    <col min="14" max="14" width="18" style="146" hidden="1" customWidth="1"/>
    <col min="15" max="15" width="15.66015625" style="146" customWidth="1"/>
    <col min="16" max="16" width="15.66015625" style="146" hidden="1" customWidth="1"/>
    <col min="17" max="20" width="15.33203125" style="146" customWidth="1"/>
    <col min="21" max="21" width="15" style="140" customWidth="1"/>
    <col min="22" max="22" width="14.66015625" style="148" customWidth="1"/>
    <col min="23" max="24" width="14.16015625" style="1" hidden="1" customWidth="1"/>
    <col min="25" max="25" width="15.33203125" style="1" customWidth="1"/>
    <col min="26" max="26" width="9.33203125" style="1" customWidth="1"/>
    <col min="27" max="27" width="9.33203125" style="2" customWidth="1"/>
    <col min="28" max="28" width="14.33203125" style="2" customWidth="1"/>
    <col min="29" max="29" width="14.83203125" style="2" customWidth="1"/>
    <col min="30" max="30" width="14.16015625" style="2" customWidth="1"/>
    <col min="31" max="31" width="12.33203125" style="2" customWidth="1"/>
    <col min="32" max="16384" width="9.33203125" style="2" customWidth="1"/>
  </cols>
  <sheetData>
    <row r="1" spans="1:22" ht="145.5" customHeight="1">
      <c r="A1" s="152"/>
      <c r="B1" s="152"/>
      <c r="C1" s="152"/>
      <c r="D1" s="152"/>
      <c r="E1" s="152"/>
      <c r="F1" s="152"/>
      <c r="G1" s="153"/>
      <c r="H1" s="154"/>
      <c r="I1" s="155"/>
      <c r="J1" s="81"/>
      <c r="K1" s="81"/>
      <c r="L1" s="81"/>
      <c r="N1" s="151"/>
      <c r="O1" s="151"/>
      <c r="P1" s="151"/>
      <c r="Q1" s="151"/>
      <c r="R1" s="151"/>
      <c r="S1" s="185" t="s">
        <v>374</v>
      </c>
      <c r="T1" s="185"/>
      <c r="U1" s="185"/>
      <c r="V1" s="185"/>
    </row>
    <row r="2" spans="1:22" ht="38.25" customHeight="1">
      <c r="A2" s="192" t="s">
        <v>371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15.75">
      <c r="A3" s="82" t="s">
        <v>373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3"/>
      <c r="O3" s="84"/>
      <c r="P3" s="84"/>
      <c r="Q3" s="83"/>
      <c r="R3" s="83"/>
      <c r="S3" s="83"/>
      <c r="T3" s="83"/>
      <c r="U3" s="82"/>
      <c r="V3" s="82"/>
    </row>
    <row r="4" spans="1:22" ht="42" customHeight="1">
      <c r="A4" s="193" t="s">
        <v>243</v>
      </c>
      <c r="B4" s="194"/>
      <c r="C4" s="194"/>
      <c r="D4" s="194"/>
      <c r="E4" s="194"/>
      <c r="F4" s="195"/>
      <c r="G4" s="199" t="s">
        <v>244</v>
      </c>
      <c r="H4" s="191" t="s">
        <v>245</v>
      </c>
      <c r="I4" s="190" t="s">
        <v>246</v>
      </c>
      <c r="J4" s="202" t="s">
        <v>213</v>
      </c>
      <c r="K4" s="202"/>
      <c r="L4" s="202"/>
      <c r="M4" s="202"/>
      <c r="N4" s="202"/>
      <c r="O4" s="202"/>
      <c r="P4" s="202"/>
      <c r="Q4" s="202"/>
      <c r="R4" s="150"/>
      <c r="S4" s="150"/>
      <c r="T4" s="150"/>
      <c r="U4" s="212"/>
      <c r="V4" s="213"/>
    </row>
    <row r="5" spans="1:22" ht="11.25" customHeight="1">
      <c r="A5" s="196"/>
      <c r="B5" s="197"/>
      <c r="C5" s="197"/>
      <c r="D5" s="197"/>
      <c r="E5" s="197"/>
      <c r="F5" s="198"/>
      <c r="G5" s="200"/>
      <c r="H5" s="201"/>
      <c r="I5" s="190"/>
      <c r="J5" s="206">
        <v>2016</v>
      </c>
      <c r="K5" s="206">
        <v>2017</v>
      </c>
      <c r="L5" s="206">
        <v>2018</v>
      </c>
      <c r="M5" s="186">
        <v>2019</v>
      </c>
      <c r="N5" s="149"/>
      <c r="O5" s="186">
        <v>2020</v>
      </c>
      <c r="P5" s="85"/>
      <c r="Q5" s="210">
        <v>2021</v>
      </c>
      <c r="R5" s="188">
        <v>2022</v>
      </c>
      <c r="S5" s="188">
        <v>2023</v>
      </c>
      <c r="T5" s="188">
        <v>2024</v>
      </c>
      <c r="U5" s="214" t="s">
        <v>177</v>
      </c>
      <c r="V5" s="214" t="s">
        <v>247</v>
      </c>
    </row>
    <row r="6" spans="1:24" ht="129.75">
      <c r="A6" s="156" t="s">
        <v>248</v>
      </c>
      <c r="B6" s="157" t="s">
        <v>249</v>
      </c>
      <c r="C6" s="157" t="s">
        <v>250</v>
      </c>
      <c r="D6" s="157" t="s">
        <v>251</v>
      </c>
      <c r="E6" s="203" t="s">
        <v>252</v>
      </c>
      <c r="F6" s="204"/>
      <c r="G6" s="200"/>
      <c r="H6" s="201"/>
      <c r="I6" s="191"/>
      <c r="J6" s="209"/>
      <c r="K6" s="209"/>
      <c r="L6" s="207"/>
      <c r="M6" s="208"/>
      <c r="N6" s="86" t="s">
        <v>354</v>
      </c>
      <c r="O6" s="187"/>
      <c r="P6" s="87" t="s">
        <v>355</v>
      </c>
      <c r="Q6" s="211"/>
      <c r="R6" s="189"/>
      <c r="S6" s="189"/>
      <c r="T6" s="189"/>
      <c r="U6" s="215"/>
      <c r="V6" s="215"/>
      <c r="W6" s="59" t="s">
        <v>370</v>
      </c>
      <c r="X6" s="78">
        <v>2021</v>
      </c>
    </row>
    <row r="7" spans="1:40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88">
        <v>10</v>
      </c>
      <c r="K7" s="88">
        <v>11</v>
      </c>
      <c r="L7" s="88">
        <v>12</v>
      </c>
      <c r="M7" s="61">
        <v>13</v>
      </c>
      <c r="N7" s="61"/>
      <c r="O7" s="60">
        <v>14</v>
      </c>
      <c r="P7" s="60"/>
      <c r="Q7" s="60">
        <v>15</v>
      </c>
      <c r="R7" s="61">
        <v>16</v>
      </c>
      <c r="S7" s="61">
        <v>17</v>
      </c>
      <c r="T7" s="61">
        <v>18</v>
      </c>
      <c r="U7" s="88">
        <v>19</v>
      </c>
      <c r="V7" s="88">
        <v>20</v>
      </c>
      <c r="W7" s="3"/>
      <c r="X7" s="3"/>
      <c r="Y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5.5">
      <c r="A8" s="158" t="s">
        <v>254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/>
      <c r="H8" s="159" t="s">
        <v>372</v>
      </c>
      <c r="I8" s="89" t="s">
        <v>255</v>
      </c>
      <c r="J8" s="75">
        <f aca="true" t="shared" si="0" ref="J8:T8">J9+J10+J11</f>
        <v>3145107.8</v>
      </c>
      <c r="K8" s="75">
        <f t="shared" si="0"/>
        <v>3319816.2</v>
      </c>
      <c r="L8" s="75">
        <f t="shared" si="0"/>
        <v>3845529.9</v>
      </c>
      <c r="M8" s="62">
        <f t="shared" si="0"/>
        <v>4423739</v>
      </c>
      <c r="N8" s="62">
        <f>N9+N10+N11</f>
        <v>4034380.8</v>
      </c>
      <c r="O8" s="62">
        <f t="shared" si="0"/>
        <v>4239039.6</v>
      </c>
      <c r="P8" s="62">
        <f>P9+P10+P11</f>
        <v>4228991.6</v>
      </c>
      <c r="Q8" s="62">
        <f t="shared" si="0"/>
        <v>4380898.3</v>
      </c>
      <c r="R8" s="62">
        <f t="shared" si="0"/>
        <v>4441218.3</v>
      </c>
      <c r="S8" s="62">
        <f t="shared" si="0"/>
        <v>4443908.5</v>
      </c>
      <c r="T8" s="62">
        <f t="shared" si="0"/>
        <v>4442673.9</v>
      </c>
      <c r="U8" s="75">
        <f>J8+K8+L8+M8+O8+Q8+R8+S8+T8</f>
        <v>36681931.5</v>
      </c>
      <c r="V8" s="89">
        <v>2024</v>
      </c>
      <c r="W8" s="4">
        <f>O8-N8</f>
        <v>204658.8</v>
      </c>
      <c r="X8" s="4">
        <f>Q8-P8</f>
        <v>151906.7</v>
      </c>
      <c r="Y8" s="4"/>
      <c r="Z8" s="4"/>
      <c r="AA8" s="4"/>
      <c r="AB8" s="4"/>
      <c r="AC8" s="4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3" t="s">
        <v>254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3</v>
      </c>
      <c r="H9" s="51" t="s">
        <v>256</v>
      </c>
      <c r="I9" s="34" t="s">
        <v>255</v>
      </c>
      <c r="J9" s="53">
        <f aca="true" t="shared" si="1" ref="J9:T9">J22+J236+J332+J415+J443+J510</f>
        <v>1105715.3</v>
      </c>
      <c r="K9" s="53">
        <f t="shared" si="1"/>
        <v>1215699.3</v>
      </c>
      <c r="L9" s="53">
        <f t="shared" si="1"/>
        <v>1390742.1</v>
      </c>
      <c r="M9" s="65">
        <f t="shared" si="1"/>
        <v>1740753.8</v>
      </c>
      <c r="N9" s="65">
        <f t="shared" si="1"/>
        <v>1403135.1</v>
      </c>
      <c r="O9" s="65">
        <f t="shared" si="1"/>
        <v>1607794</v>
      </c>
      <c r="P9" s="65">
        <f t="shared" si="1"/>
        <v>1413073.3</v>
      </c>
      <c r="Q9" s="65">
        <f t="shared" si="1"/>
        <v>1564980</v>
      </c>
      <c r="R9" s="65">
        <f t="shared" si="1"/>
        <v>1625300</v>
      </c>
      <c r="S9" s="65">
        <f t="shared" si="1"/>
        <v>1627990.2</v>
      </c>
      <c r="T9" s="65">
        <f t="shared" si="1"/>
        <v>1626755.6</v>
      </c>
      <c r="U9" s="52">
        <f>J9+K9+L9+M9+O9+Q9+R9+S9+T9</f>
        <v>13505730.3</v>
      </c>
      <c r="V9" s="88">
        <v>2024</v>
      </c>
      <c r="W9" s="4">
        <f aca="true" t="shared" si="2" ref="W9:W72">O9-N9</f>
        <v>204658.9</v>
      </c>
      <c r="X9" s="4">
        <f aca="true" t="shared" si="3" ref="X9:X72">Q9-P9</f>
        <v>151906.7</v>
      </c>
      <c r="Y9" s="4"/>
      <c r="AA9" s="1"/>
      <c r="AB9" s="5"/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160" t="s">
        <v>254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2</v>
      </c>
      <c r="H10" s="161" t="s">
        <v>257</v>
      </c>
      <c r="I10" s="88" t="s">
        <v>255</v>
      </c>
      <c r="J10" s="53">
        <f>J23+J237+J333+J416+J444</f>
        <v>2034080</v>
      </c>
      <c r="K10" s="53">
        <f>K23+K237+K333+K416+K444</f>
        <v>2101798.1</v>
      </c>
      <c r="L10" s="53">
        <f aca="true" t="shared" si="4" ref="L10:T10">L23+L237+L333+L416+L444+L511</f>
        <v>2454787.8</v>
      </c>
      <c r="M10" s="65">
        <f t="shared" si="4"/>
        <v>2681520</v>
      </c>
      <c r="N10" s="65">
        <f t="shared" si="4"/>
        <v>2631245.7</v>
      </c>
      <c r="O10" s="65">
        <f t="shared" si="4"/>
        <v>2631245.6</v>
      </c>
      <c r="P10" s="65">
        <f t="shared" si="4"/>
        <v>2815918.3</v>
      </c>
      <c r="Q10" s="65">
        <f t="shared" si="4"/>
        <v>2815918.3</v>
      </c>
      <c r="R10" s="65">
        <f t="shared" si="4"/>
        <v>2815918.3</v>
      </c>
      <c r="S10" s="65">
        <f t="shared" si="4"/>
        <v>2815918.3</v>
      </c>
      <c r="T10" s="65">
        <f t="shared" si="4"/>
        <v>2815918.3</v>
      </c>
      <c r="U10" s="52">
        <f>J10+K10+L10+M10+O10+Q10+R10+S10+T10</f>
        <v>23167104.7</v>
      </c>
      <c r="V10" s="88">
        <v>2024</v>
      </c>
      <c r="W10" s="4">
        <f t="shared" si="2"/>
        <v>-0.1</v>
      </c>
      <c r="X10" s="4">
        <f t="shared" si="3"/>
        <v>0</v>
      </c>
      <c r="Y10" s="4"/>
      <c r="AA10" s="1"/>
      <c r="AB10" s="5"/>
      <c r="AC10" s="5"/>
      <c r="AD10" s="5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160" t="s">
        <v>254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1</v>
      </c>
      <c r="H11" s="161" t="s">
        <v>258</v>
      </c>
      <c r="I11" s="88" t="s">
        <v>255</v>
      </c>
      <c r="J11" s="53">
        <f>J238+J417</f>
        <v>5312.5</v>
      </c>
      <c r="K11" s="53">
        <f aca="true" t="shared" si="5" ref="K11:T11">K417</f>
        <v>2318.8</v>
      </c>
      <c r="L11" s="53">
        <f t="shared" si="5"/>
        <v>0</v>
      </c>
      <c r="M11" s="65">
        <f t="shared" si="5"/>
        <v>1465.2</v>
      </c>
      <c r="N11" s="65">
        <f>N417</f>
        <v>0</v>
      </c>
      <c r="O11" s="65">
        <f t="shared" si="5"/>
        <v>0</v>
      </c>
      <c r="P11" s="65">
        <f>P417</f>
        <v>0</v>
      </c>
      <c r="Q11" s="65">
        <f t="shared" si="5"/>
        <v>0</v>
      </c>
      <c r="R11" s="65">
        <f t="shared" si="5"/>
        <v>0</v>
      </c>
      <c r="S11" s="65">
        <f t="shared" si="5"/>
        <v>0</v>
      </c>
      <c r="T11" s="65">
        <f t="shared" si="5"/>
        <v>0</v>
      </c>
      <c r="U11" s="52">
        <f>J11+K11+L11+M11+O11+Q11+R11+S11+T11</f>
        <v>9096.5</v>
      </c>
      <c r="V11" s="88">
        <v>2019</v>
      </c>
      <c r="W11" s="4">
        <f t="shared" si="2"/>
        <v>0</v>
      </c>
      <c r="X11" s="4">
        <f t="shared" si="3"/>
        <v>0</v>
      </c>
      <c r="Y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51">
      <c r="A12" s="160" t="s">
        <v>254</v>
      </c>
      <c r="B12" s="88">
        <v>1</v>
      </c>
      <c r="C12" s="88">
        <v>0</v>
      </c>
      <c r="D12" s="88">
        <v>0</v>
      </c>
      <c r="E12" s="88">
        <v>0</v>
      </c>
      <c r="F12" s="88">
        <v>0</v>
      </c>
      <c r="G12" s="90"/>
      <c r="H12" s="162" t="s">
        <v>150</v>
      </c>
      <c r="I12" s="90"/>
      <c r="J12" s="90" t="s">
        <v>253</v>
      </c>
      <c r="K12" s="90"/>
      <c r="L12" s="90"/>
      <c r="M12" s="91"/>
      <c r="N12" s="91"/>
      <c r="O12" s="92"/>
      <c r="P12" s="92"/>
      <c r="Q12" s="92"/>
      <c r="R12" s="91"/>
      <c r="S12" s="91"/>
      <c r="T12" s="91"/>
      <c r="U12" s="90"/>
      <c r="V12" s="90" t="s">
        <v>253</v>
      </c>
      <c r="W12" s="4">
        <f t="shared" si="2"/>
        <v>0</v>
      </c>
      <c r="X12" s="4">
        <f t="shared" si="3"/>
        <v>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38.25">
      <c r="A13" s="160" t="s">
        <v>254</v>
      </c>
      <c r="B13" s="88">
        <v>1</v>
      </c>
      <c r="C13" s="88">
        <v>0</v>
      </c>
      <c r="D13" s="88">
        <v>0</v>
      </c>
      <c r="E13" s="88">
        <v>0</v>
      </c>
      <c r="F13" s="88">
        <v>0</v>
      </c>
      <c r="G13" s="90"/>
      <c r="H13" s="163" t="s">
        <v>259</v>
      </c>
      <c r="I13" s="90" t="s">
        <v>260</v>
      </c>
      <c r="J13" s="42">
        <v>100</v>
      </c>
      <c r="K13" s="42">
        <v>100</v>
      </c>
      <c r="L13" s="42">
        <v>100</v>
      </c>
      <c r="M13" s="63">
        <v>100</v>
      </c>
      <c r="N13" s="63">
        <v>100</v>
      </c>
      <c r="O13" s="41">
        <v>100</v>
      </c>
      <c r="P13" s="63">
        <v>100</v>
      </c>
      <c r="Q13" s="41">
        <v>100</v>
      </c>
      <c r="R13" s="63">
        <v>100</v>
      </c>
      <c r="S13" s="63">
        <v>100</v>
      </c>
      <c r="T13" s="63">
        <v>100</v>
      </c>
      <c r="U13" s="42">
        <v>100</v>
      </c>
      <c r="V13" s="90">
        <v>2024</v>
      </c>
      <c r="W13" s="4">
        <f t="shared" si="2"/>
        <v>0</v>
      </c>
      <c r="X13" s="4">
        <f t="shared" si="3"/>
        <v>0</v>
      </c>
      <c r="AA13" s="1"/>
      <c r="AB13" s="5"/>
      <c r="AC13" s="5"/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8.25">
      <c r="A14" s="160" t="s">
        <v>254</v>
      </c>
      <c r="B14" s="88">
        <v>1</v>
      </c>
      <c r="C14" s="88">
        <v>0</v>
      </c>
      <c r="D14" s="88">
        <v>0</v>
      </c>
      <c r="E14" s="88">
        <v>0</v>
      </c>
      <c r="F14" s="88">
        <v>0</v>
      </c>
      <c r="G14" s="90"/>
      <c r="H14" s="163" t="s">
        <v>261</v>
      </c>
      <c r="I14" s="90" t="s">
        <v>260</v>
      </c>
      <c r="J14" s="90">
        <v>93.6</v>
      </c>
      <c r="K14" s="90">
        <v>96.6</v>
      </c>
      <c r="L14" s="42">
        <v>99.1</v>
      </c>
      <c r="M14" s="41">
        <v>99.9</v>
      </c>
      <c r="N14" s="41">
        <v>99.5</v>
      </c>
      <c r="O14" s="93">
        <v>99.5</v>
      </c>
      <c r="P14" s="93">
        <v>99.6</v>
      </c>
      <c r="Q14" s="94">
        <v>99.6</v>
      </c>
      <c r="R14" s="94">
        <v>99.7</v>
      </c>
      <c r="S14" s="94">
        <v>99.8</v>
      </c>
      <c r="T14" s="94">
        <v>99.8</v>
      </c>
      <c r="U14" s="95">
        <v>99.8</v>
      </c>
      <c r="V14" s="90">
        <v>2024</v>
      </c>
      <c r="W14" s="4">
        <f t="shared" si="2"/>
        <v>0</v>
      </c>
      <c r="X14" s="4">
        <f t="shared" si="3"/>
        <v>0</v>
      </c>
      <c r="AA14" s="1"/>
      <c r="AB14" s="5"/>
      <c r="AC14" s="5"/>
      <c r="AD14" s="5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63.75">
      <c r="A15" s="160" t="s">
        <v>254</v>
      </c>
      <c r="B15" s="88">
        <v>1</v>
      </c>
      <c r="C15" s="88">
        <v>0</v>
      </c>
      <c r="D15" s="88">
        <v>0</v>
      </c>
      <c r="E15" s="88">
        <v>0</v>
      </c>
      <c r="F15" s="88">
        <v>0</v>
      </c>
      <c r="G15" s="90"/>
      <c r="H15" s="163" t="s">
        <v>271</v>
      </c>
      <c r="I15" s="90" t="s">
        <v>260</v>
      </c>
      <c r="J15" s="42">
        <v>65</v>
      </c>
      <c r="K15" s="42">
        <v>68.6</v>
      </c>
      <c r="L15" s="42">
        <v>70</v>
      </c>
      <c r="M15" s="63">
        <v>72</v>
      </c>
      <c r="N15" s="63">
        <v>74</v>
      </c>
      <c r="O15" s="93">
        <v>77</v>
      </c>
      <c r="P15" s="93">
        <v>74</v>
      </c>
      <c r="Q15" s="93">
        <v>77.5</v>
      </c>
      <c r="R15" s="93">
        <v>78</v>
      </c>
      <c r="S15" s="93">
        <v>79</v>
      </c>
      <c r="T15" s="93">
        <v>80</v>
      </c>
      <c r="U15" s="95">
        <v>80</v>
      </c>
      <c r="V15" s="90">
        <v>2024</v>
      </c>
      <c r="W15" s="4">
        <f t="shared" si="2"/>
        <v>3</v>
      </c>
      <c r="X15" s="4">
        <f t="shared" si="3"/>
        <v>3.5</v>
      </c>
      <c r="AA15" s="1"/>
      <c r="AB15" s="5"/>
      <c r="AC15" s="5"/>
      <c r="AD15" s="5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63.75">
      <c r="A16" s="160" t="s">
        <v>254</v>
      </c>
      <c r="B16" s="88">
        <v>1</v>
      </c>
      <c r="C16" s="88">
        <v>0</v>
      </c>
      <c r="D16" s="88">
        <v>0</v>
      </c>
      <c r="E16" s="88">
        <v>0</v>
      </c>
      <c r="F16" s="88">
        <v>0</v>
      </c>
      <c r="G16" s="90"/>
      <c r="H16" s="163" t="s">
        <v>272</v>
      </c>
      <c r="I16" s="90" t="s">
        <v>260</v>
      </c>
      <c r="J16" s="42">
        <v>95</v>
      </c>
      <c r="K16" s="42">
        <v>96</v>
      </c>
      <c r="L16" s="42">
        <v>97</v>
      </c>
      <c r="M16" s="63">
        <v>97</v>
      </c>
      <c r="N16" s="63">
        <v>98.3</v>
      </c>
      <c r="O16" s="93">
        <v>97</v>
      </c>
      <c r="P16" s="93">
        <v>99</v>
      </c>
      <c r="Q16" s="93">
        <v>97.1</v>
      </c>
      <c r="R16" s="93">
        <v>97.2</v>
      </c>
      <c r="S16" s="93">
        <v>97.2</v>
      </c>
      <c r="T16" s="93">
        <v>97.2</v>
      </c>
      <c r="U16" s="93">
        <v>97.2</v>
      </c>
      <c r="V16" s="90">
        <v>2024</v>
      </c>
      <c r="W16" s="4">
        <f t="shared" si="2"/>
        <v>-1.3</v>
      </c>
      <c r="X16" s="4">
        <f t="shared" si="3"/>
        <v>-1.9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89.25">
      <c r="A17" s="160" t="s">
        <v>254</v>
      </c>
      <c r="B17" s="88">
        <v>1</v>
      </c>
      <c r="C17" s="88">
        <v>0</v>
      </c>
      <c r="D17" s="88">
        <v>0</v>
      </c>
      <c r="E17" s="88">
        <v>0</v>
      </c>
      <c r="F17" s="88">
        <v>0</v>
      </c>
      <c r="G17" s="90"/>
      <c r="H17" s="163" t="s">
        <v>99</v>
      </c>
      <c r="I17" s="90" t="s">
        <v>260</v>
      </c>
      <c r="J17" s="96">
        <v>31</v>
      </c>
      <c r="K17" s="96">
        <v>32.1</v>
      </c>
      <c r="L17" s="96">
        <v>28.4</v>
      </c>
      <c r="M17" s="66">
        <v>28.8</v>
      </c>
      <c r="N17" s="66">
        <v>28.8</v>
      </c>
      <c r="O17" s="79">
        <v>29.7</v>
      </c>
      <c r="P17" s="79">
        <v>28.8</v>
      </c>
      <c r="Q17" s="79">
        <v>29.7</v>
      </c>
      <c r="R17" s="79">
        <v>29.7</v>
      </c>
      <c r="S17" s="79">
        <v>29.7</v>
      </c>
      <c r="T17" s="79">
        <v>29.7</v>
      </c>
      <c r="U17" s="79">
        <v>28.4</v>
      </c>
      <c r="V17" s="90">
        <v>2024</v>
      </c>
      <c r="W17" s="4">
        <f t="shared" si="2"/>
        <v>0.9</v>
      </c>
      <c r="X17" s="4">
        <f t="shared" si="3"/>
        <v>0.9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29" ht="102">
      <c r="A18" s="160" t="s">
        <v>254</v>
      </c>
      <c r="B18" s="88">
        <v>1</v>
      </c>
      <c r="C18" s="88">
        <v>0</v>
      </c>
      <c r="D18" s="88">
        <v>0</v>
      </c>
      <c r="E18" s="88">
        <v>0</v>
      </c>
      <c r="F18" s="88">
        <v>0</v>
      </c>
      <c r="G18" s="90"/>
      <c r="H18" s="163" t="s">
        <v>273</v>
      </c>
      <c r="I18" s="90" t="s">
        <v>260</v>
      </c>
      <c r="J18" s="42">
        <v>99</v>
      </c>
      <c r="K18" s="42">
        <v>99</v>
      </c>
      <c r="L18" s="42">
        <v>100</v>
      </c>
      <c r="M18" s="63">
        <v>100</v>
      </c>
      <c r="N18" s="63">
        <v>100</v>
      </c>
      <c r="O18" s="41">
        <v>100</v>
      </c>
      <c r="P18" s="41">
        <v>100</v>
      </c>
      <c r="Q18" s="41">
        <v>100</v>
      </c>
      <c r="R18" s="63">
        <v>100</v>
      </c>
      <c r="S18" s="63">
        <v>100</v>
      </c>
      <c r="T18" s="63">
        <v>100</v>
      </c>
      <c r="U18" s="63">
        <v>100</v>
      </c>
      <c r="V18" s="90">
        <v>2024</v>
      </c>
      <c r="W18" s="4">
        <f t="shared" si="2"/>
        <v>0</v>
      </c>
      <c r="X18" s="4">
        <f t="shared" si="3"/>
        <v>0</v>
      </c>
      <c r="AC18" s="6"/>
    </row>
    <row r="19" spans="1:24" ht="63.75">
      <c r="A19" s="160" t="s">
        <v>254</v>
      </c>
      <c r="B19" s="88">
        <v>1</v>
      </c>
      <c r="C19" s="88">
        <v>0</v>
      </c>
      <c r="D19" s="88">
        <v>0</v>
      </c>
      <c r="E19" s="88">
        <v>0</v>
      </c>
      <c r="F19" s="88">
        <v>0</v>
      </c>
      <c r="G19" s="90"/>
      <c r="H19" s="163" t="s">
        <v>274</v>
      </c>
      <c r="I19" s="90" t="s">
        <v>260</v>
      </c>
      <c r="J19" s="42">
        <v>100</v>
      </c>
      <c r="K19" s="42">
        <v>100</v>
      </c>
      <c r="L19" s="42">
        <v>100</v>
      </c>
      <c r="M19" s="63">
        <v>100</v>
      </c>
      <c r="N19" s="63">
        <v>100</v>
      </c>
      <c r="O19" s="41">
        <v>100</v>
      </c>
      <c r="P19" s="41">
        <v>100</v>
      </c>
      <c r="Q19" s="41">
        <v>100</v>
      </c>
      <c r="R19" s="63">
        <v>100</v>
      </c>
      <c r="S19" s="63">
        <v>100</v>
      </c>
      <c r="T19" s="63">
        <v>100</v>
      </c>
      <c r="U19" s="42">
        <f>(J19+K19+L19+M19+O19+Q19+R19+S19+T19)/9</f>
        <v>100</v>
      </c>
      <c r="V19" s="90">
        <v>2024</v>
      </c>
      <c r="W19" s="4">
        <f t="shared" si="2"/>
        <v>0</v>
      </c>
      <c r="X19" s="4">
        <f t="shared" si="3"/>
        <v>0</v>
      </c>
    </row>
    <row r="20" spans="1:24" ht="51">
      <c r="A20" s="160" t="s">
        <v>254</v>
      </c>
      <c r="B20" s="88">
        <v>1</v>
      </c>
      <c r="C20" s="88">
        <v>0</v>
      </c>
      <c r="D20" s="88">
        <v>0</v>
      </c>
      <c r="E20" s="88">
        <v>0</v>
      </c>
      <c r="F20" s="88">
        <v>0</v>
      </c>
      <c r="G20" s="90"/>
      <c r="H20" s="163" t="s">
        <v>262</v>
      </c>
      <c r="I20" s="90" t="s">
        <v>260</v>
      </c>
      <c r="J20" s="42">
        <v>0</v>
      </c>
      <c r="K20" s="42">
        <v>0</v>
      </c>
      <c r="L20" s="42">
        <v>0</v>
      </c>
      <c r="M20" s="63">
        <v>58.4</v>
      </c>
      <c r="N20" s="63">
        <v>59.7</v>
      </c>
      <c r="O20" s="93">
        <v>63.3</v>
      </c>
      <c r="P20" s="93">
        <v>60</v>
      </c>
      <c r="Q20" s="93">
        <v>63.5</v>
      </c>
      <c r="R20" s="93">
        <v>63.7</v>
      </c>
      <c r="S20" s="93">
        <v>63.9</v>
      </c>
      <c r="T20" s="93">
        <v>64.3</v>
      </c>
      <c r="U20" s="42">
        <v>64.3</v>
      </c>
      <c r="V20" s="90">
        <v>2024</v>
      </c>
      <c r="W20" s="4">
        <f t="shared" si="2"/>
        <v>3.6</v>
      </c>
      <c r="X20" s="4">
        <f t="shared" si="3"/>
        <v>3.5</v>
      </c>
    </row>
    <row r="21" spans="1:25" ht="38.25">
      <c r="A21" s="158" t="s">
        <v>254</v>
      </c>
      <c r="B21" s="89">
        <v>1</v>
      </c>
      <c r="C21" s="89">
        <v>1</v>
      </c>
      <c r="D21" s="89">
        <v>0</v>
      </c>
      <c r="E21" s="89">
        <v>0</v>
      </c>
      <c r="F21" s="89">
        <v>0</v>
      </c>
      <c r="G21" s="89"/>
      <c r="H21" s="159" t="s">
        <v>107</v>
      </c>
      <c r="I21" s="89" t="s">
        <v>255</v>
      </c>
      <c r="J21" s="75">
        <f aca="true" t="shared" si="6" ref="J21:T21">J22+J23</f>
        <v>2891748.5</v>
      </c>
      <c r="K21" s="75">
        <f t="shared" si="6"/>
        <v>2985052</v>
      </c>
      <c r="L21" s="75">
        <f t="shared" si="6"/>
        <v>3449946.6</v>
      </c>
      <c r="M21" s="62">
        <f t="shared" si="6"/>
        <v>3913317.2</v>
      </c>
      <c r="N21" s="62">
        <f>N22+N23</f>
        <v>3747586.9</v>
      </c>
      <c r="O21" s="62">
        <f t="shared" si="6"/>
        <v>3905165.3</v>
      </c>
      <c r="P21" s="62">
        <f>P22+P23</f>
        <v>3924381</v>
      </c>
      <c r="Q21" s="62">
        <f t="shared" si="6"/>
        <v>4069275.8</v>
      </c>
      <c r="R21" s="62">
        <f t="shared" si="6"/>
        <v>4129342.9</v>
      </c>
      <c r="S21" s="62">
        <f t="shared" si="6"/>
        <v>4129342.8</v>
      </c>
      <c r="T21" s="62">
        <f t="shared" si="6"/>
        <v>4129342.8</v>
      </c>
      <c r="U21" s="75">
        <f aca="true" t="shared" si="7" ref="U21:U26">J21+K21+L21+M21+O21+Q21+R21+S21+T21</f>
        <v>33602533.9</v>
      </c>
      <c r="V21" s="89">
        <v>2024</v>
      </c>
      <c r="W21" s="4">
        <f t="shared" si="2"/>
        <v>157578.4</v>
      </c>
      <c r="X21" s="4">
        <f t="shared" si="3"/>
        <v>144894.8</v>
      </c>
      <c r="Y21" s="4"/>
    </row>
    <row r="22" spans="1:25" ht="12.75">
      <c r="A22" s="33" t="s">
        <v>254</v>
      </c>
      <c r="B22" s="34">
        <v>1</v>
      </c>
      <c r="C22" s="34">
        <v>1</v>
      </c>
      <c r="D22" s="34">
        <v>0</v>
      </c>
      <c r="E22" s="34">
        <v>0</v>
      </c>
      <c r="F22" s="34">
        <v>0</v>
      </c>
      <c r="G22" s="34">
        <v>3</v>
      </c>
      <c r="H22" s="51" t="s">
        <v>256</v>
      </c>
      <c r="I22" s="35" t="s">
        <v>255</v>
      </c>
      <c r="J22" s="42">
        <f aca="true" t="shared" si="8" ref="J22:T22">J25+J65+J94+J120+J142+J164+J189+J205+J219</f>
        <v>866708.9</v>
      </c>
      <c r="K22" s="42">
        <f t="shared" si="8"/>
        <v>886863.5</v>
      </c>
      <c r="L22" s="42">
        <f t="shared" si="8"/>
        <v>1003124.7</v>
      </c>
      <c r="M22" s="63">
        <f t="shared" si="8"/>
        <v>1252041.4</v>
      </c>
      <c r="N22" s="63">
        <f>N25+N65+N94+N120+N142+N164+N189+N205+N219</f>
        <v>1117264.5</v>
      </c>
      <c r="O22" s="63">
        <f t="shared" si="8"/>
        <v>1274843</v>
      </c>
      <c r="P22" s="63">
        <f>P25+P65+P94+P120+P142+P164+P189+P205+P219</f>
        <v>1109386</v>
      </c>
      <c r="Q22" s="63">
        <f t="shared" si="8"/>
        <v>1254280.8</v>
      </c>
      <c r="R22" s="63">
        <f t="shared" si="8"/>
        <v>1314347.9</v>
      </c>
      <c r="S22" s="63">
        <f t="shared" si="8"/>
        <v>1314347.8</v>
      </c>
      <c r="T22" s="63">
        <f t="shared" si="8"/>
        <v>1314347.8</v>
      </c>
      <c r="U22" s="53">
        <f t="shared" si="7"/>
        <v>10480905.8</v>
      </c>
      <c r="V22" s="90">
        <v>2024</v>
      </c>
      <c r="W22" s="4">
        <f t="shared" si="2"/>
        <v>157578.5</v>
      </c>
      <c r="X22" s="4">
        <f t="shared" si="3"/>
        <v>144894.8</v>
      </c>
      <c r="Y22" s="4"/>
    </row>
    <row r="23" spans="1:25" ht="12.75">
      <c r="A23" s="33" t="s">
        <v>254</v>
      </c>
      <c r="B23" s="34">
        <v>1</v>
      </c>
      <c r="C23" s="34">
        <v>1</v>
      </c>
      <c r="D23" s="34">
        <v>0</v>
      </c>
      <c r="E23" s="34">
        <v>0</v>
      </c>
      <c r="F23" s="34">
        <v>0</v>
      </c>
      <c r="G23" s="34">
        <v>2</v>
      </c>
      <c r="H23" s="51" t="s">
        <v>257</v>
      </c>
      <c r="I23" s="35" t="s">
        <v>255</v>
      </c>
      <c r="J23" s="42">
        <f>J26+J66+J95+J190+J206+J220</f>
        <v>2025039.6</v>
      </c>
      <c r="K23" s="42">
        <f>K26+K66+K95+K190+K206+K220</f>
        <v>2098188.5</v>
      </c>
      <c r="L23" s="42">
        <f>L26+L66+L95+L190+L206+L220</f>
        <v>2446821.9</v>
      </c>
      <c r="M23" s="63">
        <f aca="true" t="shared" si="9" ref="M23:T23">M26+M66+M95+M190+M206</f>
        <v>2661275.8</v>
      </c>
      <c r="N23" s="63">
        <f>N26+N66+N95+N190+N206</f>
        <v>2630322.4</v>
      </c>
      <c r="O23" s="63">
        <f t="shared" si="9"/>
        <v>2630322.3</v>
      </c>
      <c r="P23" s="63">
        <f>P26+P66+P95+P190+P206</f>
        <v>2814995</v>
      </c>
      <c r="Q23" s="63">
        <f t="shared" si="9"/>
        <v>2814995</v>
      </c>
      <c r="R23" s="63">
        <f t="shared" si="9"/>
        <v>2814995</v>
      </c>
      <c r="S23" s="63">
        <f t="shared" si="9"/>
        <v>2814995</v>
      </c>
      <c r="T23" s="63">
        <f t="shared" si="9"/>
        <v>2814995</v>
      </c>
      <c r="U23" s="53">
        <f t="shared" si="7"/>
        <v>23121628.1</v>
      </c>
      <c r="V23" s="90">
        <v>2024</v>
      </c>
      <c r="W23" s="4">
        <f t="shared" si="2"/>
        <v>-0.1</v>
      </c>
      <c r="X23" s="4">
        <f t="shared" si="3"/>
        <v>0</v>
      </c>
      <c r="Y23" s="4"/>
    </row>
    <row r="24" spans="1:25" ht="25.5">
      <c r="A24" s="164" t="s">
        <v>254</v>
      </c>
      <c r="B24" s="32">
        <v>1</v>
      </c>
      <c r="C24" s="32">
        <v>1</v>
      </c>
      <c r="D24" s="32">
        <v>1</v>
      </c>
      <c r="E24" s="32">
        <v>0</v>
      </c>
      <c r="F24" s="32">
        <v>0</v>
      </c>
      <c r="G24" s="32"/>
      <c r="H24" s="30" t="s">
        <v>275</v>
      </c>
      <c r="I24" s="32" t="s">
        <v>255</v>
      </c>
      <c r="J24" s="68">
        <f>J26+J25</f>
        <v>1401555.1</v>
      </c>
      <c r="K24" s="68">
        <f>K26+K25</f>
        <v>1483448.3</v>
      </c>
      <c r="L24" s="68">
        <f>L26+L25</f>
        <v>1743128</v>
      </c>
      <c r="M24" s="64">
        <f aca="true" t="shared" si="10" ref="M24:T24">M25+M26</f>
        <v>1953089.9</v>
      </c>
      <c r="N24" s="64">
        <f>N25+N26</f>
        <v>1873539.9</v>
      </c>
      <c r="O24" s="64">
        <f t="shared" si="10"/>
        <v>1940166.7</v>
      </c>
      <c r="P24" s="64">
        <f>P25+P26</f>
        <v>1955207.4</v>
      </c>
      <c r="Q24" s="64">
        <f t="shared" si="10"/>
        <v>2003256.9</v>
      </c>
      <c r="R24" s="64">
        <f t="shared" si="10"/>
        <v>2025196.8</v>
      </c>
      <c r="S24" s="64">
        <f t="shared" si="10"/>
        <v>2025196.8</v>
      </c>
      <c r="T24" s="64">
        <f t="shared" si="10"/>
        <v>2025196.8</v>
      </c>
      <c r="U24" s="68">
        <f t="shared" si="7"/>
        <v>16600235.3</v>
      </c>
      <c r="V24" s="32">
        <v>2024</v>
      </c>
      <c r="W24" s="4">
        <f t="shared" si="2"/>
        <v>66626.8</v>
      </c>
      <c r="X24" s="4">
        <f t="shared" si="3"/>
        <v>48049.5</v>
      </c>
      <c r="Y24" s="4"/>
    </row>
    <row r="25" spans="1:26" s="7" customFormat="1" ht="12.75">
      <c r="A25" s="33" t="s">
        <v>254</v>
      </c>
      <c r="B25" s="34">
        <v>1</v>
      </c>
      <c r="C25" s="34">
        <v>1</v>
      </c>
      <c r="D25" s="34">
        <v>1</v>
      </c>
      <c r="E25" s="34">
        <v>0</v>
      </c>
      <c r="F25" s="34">
        <v>0</v>
      </c>
      <c r="G25" s="34">
        <v>3</v>
      </c>
      <c r="H25" s="51" t="s">
        <v>256</v>
      </c>
      <c r="I25" s="34" t="s">
        <v>255</v>
      </c>
      <c r="J25" s="53">
        <f aca="true" t="shared" si="11" ref="J25:T25">J33+J48+J51+J54+J61</f>
        <v>361965.8</v>
      </c>
      <c r="K25" s="53">
        <f t="shared" si="11"/>
        <v>372382.5</v>
      </c>
      <c r="L25" s="53">
        <f t="shared" si="11"/>
        <v>435457.5</v>
      </c>
      <c r="M25" s="65">
        <f t="shared" si="11"/>
        <v>554179.1</v>
      </c>
      <c r="N25" s="65">
        <f>N33+N48+N51+N54+N61</f>
        <v>486442.4</v>
      </c>
      <c r="O25" s="65">
        <f t="shared" si="11"/>
        <v>553069.3</v>
      </c>
      <c r="P25" s="65">
        <f>P33+P48+P51+P54+P61</f>
        <v>486444.8</v>
      </c>
      <c r="Q25" s="65">
        <f t="shared" si="11"/>
        <v>534494.3</v>
      </c>
      <c r="R25" s="65">
        <f t="shared" si="11"/>
        <v>556434.2</v>
      </c>
      <c r="S25" s="65">
        <f t="shared" si="11"/>
        <v>556434.2</v>
      </c>
      <c r="T25" s="65">
        <f t="shared" si="11"/>
        <v>556434.2</v>
      </c>
      <c r="U25" s="53">
        <f t="shared" si="7"/>
        <v>4480851.1</v>
      </c>
      <c r="V25" s="88">
        <v>2024</v>
      </c>
      <c r="W25" s="4">
        <f t="shared" si="2"/>
        <v>66626.9</v>
      </c>
      <c r="X25" s="4">
        <f t="shared" si="3"/>
        <v>48049.5</v>
      </c>
      <c r="Y25" s="4"/>
      <c r="Z25" s="3"/>
    </row>
    <row r="26" spans="1:26" s="7" customFormat="1" ht="12.75">
      <c r="A26" s="33" t="s">
        <v>254</v>
      </c>
      <c r="B26" s="34">
        <v>1</v>
      </c>
      <c r="C26" s="34">
        <v>1</v>
      </c>
      <c r="D26" s="34">
        <v>1</v>
      </c>
      <c r="E26" s="34">
        <v>0</v>
      </c>
      <c r="F26" s="34">
        <v>0</v>
      </c>
      <c r="G26" s="34">
        <v>2</v>
      </c>
      <c r="H26" s="51" t="s">
        <v>257</v>
      </c>
      <c r="I26" s="34" t="s">
        <v>255</v>
      </c>
      <c r="J26" s="53">
        <f>J34+J43+J55</f>
        <v>1039589.3</v>
      </c>
      <c r="K26" s="53">
        <f>K34+K43+K55</f>
        <v>1111065.8</v>
      </c>
      <c r="L26" s="53">
        <f>L34+L43+L55</f>
        <v>1307670.5</v>
      </c>
      <c r="M26" s="65">
        <f>M34+M43+M55</f>
        <v>1398910.8</v>
      </c>
      <c r="N26" s="65">
        <f>N34+N43+N55</f>
        <v>1387097.5</v>
      </c>
      <c r="O26" s="65">
        <f>O34+O43</f>
        <v>1387097.4</v>
      </c>
      <c r="P26" s="65">
        <f>P34+P43</f>
        <v>1468762.6</v>
      </c>
      <c r="Q26" s="65">
        <f>Q34+Q43</f>
        <v>1468762.6</v>
      </c>
      <c r="R26" s="65">
        <f>R34+R43+R55</f>
        <v>1468762.6</v>
      </c>
      <c r="S26" s="65">
        <f>S34+S43+S55</f>
        <v>1468762.6</v>
      </c>
      <c r="T26" s="65">
        <f>T34+T43+T55</f>
        <v>1468762.6</v>
      </c>
      <c r="U26" s="53">
        <f t="shared" si="7"/>
        <v>12119384.2</v>
      </c>
      <c r="V26" s="88">
        <v>2024</v>
      </c>
      <c r="W26" s="4">
        <f t="shared" si="2"/>
        <v>-0.1</v>
      </c>
      <c r="X26" s="4">
        <f t="shared" si="3"/>
        <v>0</v>
      </c>
      <c r="Y26" s="4"/>
      <c r="Z26" s="3"/>
    </row>
    <row r="27" spans="1:24" ht="38.25">
      <c r="A27" s="160" t="s">
        <v>254</v>
      </c>
      <c r="B27" s="88">
        <v>1</v>
      </c>
      <c r="C27" s="88">
        <v>1</v>
      </c>
      <c r="D27" s="88">
        <v>1</v>
      </c>
      <c r="E27" s="88">
        <v>0</v>
      </c>
      <c r="F27" s="88">
        <v>0</v>
      </c>
      <c r="G27" s="90"/>
      <c r="H27" s="163" t="s">
        <v>276</v>
      </c>
      <c r="I27" s="90" t="s">
        <v>260</v>
      </c>
      <c r="J27" s="42">
        <v>33.2</v>
      </c>
      <c r="K27" s="42">
        <v>43.8</v>
      </c>
      <c r="L27" s="42">
        <v>43.9</v>
      </c>
      <c r="M27" s="63">
        <v>51</v>
      </c>
      <c r="N27" s="63">
        <v>43.2</v>
      </c>
      <c r="O27" s="41">
        <v>43.2</v>
      </c>
      <c r="P27" s="41">
        <v>43.2</v>
      </c>
      <c r="Q27" s="41">
        <v>43.2</v>
      </c>
      <c r="R27" s="63">
        <v>43.3</v>
      </c>
      <c r="S27" s="63">
        <v>43.4</v>
      </c>
      <c r="T27" s="63">
        <v>43.5</v>
      </c>
      <c r="U27" s="40">
        <v>43.5</v>
      </c>
      <c r="V27" s="90">
        <v>2024</v>
      </c>
      <c r="W27" s="4">
        <f t="shared" si="2"/>
        <v>0</v>
      </c>
      <c r="X27" s="4">
        <f t="shared" si="3"/>
        <v>0</v>
      </c>
    </row>
    <row r="28" spans="1:24" ht="76.5">
      <c r="A28" s="160" t="s">
        <v>254</v>
      </c>
      <c r="B28" s="88">
        <v>1</v>
      </c>
      <c r="C28" s="88">
        <v>1</v>
      </c>
      <c r="D28" s="88">
        <v>1</v>
      </c>
      <c r="E28" s="88">
        <v>0</v>
      </c>
      <c r="F28" s="88">
        <v>0</v>
      </c>
      <c r="G28" s="90"/>
      <c r="H28" s="163" t="s">
        <v>277</v>
      </c>
      <c r="I28" s="90" t="s">
        <v>260</v>
      </c>
      <c r="J28" s="42">
        <v>100</v>
      </c>
      <c r="K28" s="42">
        <v>100</v>
      </c>
      <c r="L28" s="42">
        <v>100</v>
      </c>
      <c r="M28" s="63">
        <v>100</v>
      </c>
      <c r="N28" s="63">
        <v>100</v>
      </c>
      <c r="O28" s="41">
        <v>100</v>
      </c>
      <c r="P28" s="41">
        <v>100</v>
      </c>
      <c r="Q28" s="41">
        <v>100</v>
      </c>
      <c r="R28" s="63">
        <v>100</v>
      </c>
      <c r="S28" s="63">
        <v>100</v>
      </c>
      <c r="T28" s="63">
        <v>100</v>
      </c>
      <c r="U28" s="42">
        <v>100</v>
      </c>
      <c r="V28" s="90">
        <v>2024</v>
      </c>
      <c r="W28" s="4">
        <f t="shared" si="2"/>
        <v>0</v>
      </c>
      <c r="X28" s="4">
        <f t="shared" si="3"/>
        <v>0</v>
      </c>
    </row>
    <row r="29" spans="1:24" ht="89.25">
      <c r="A29" s="160" t="s">
        <v>254</v>
      </c>
      <c r="B29" s="88">
        <v>1</v>
      </c>
      <c r="C29" s="88">
        <v>1</v>
      </c>
      <c r="D29" s="88">
        <v>1</v>
      </c>
      <c r="E29" s="88">
        <v>0</v>
      </c>
      <c r="F29" s="88">
        <v>0</v>
      </c>
      <c r="G29" s="90"/>
      <c r="H29" s="163" t="s">
        <v>278</v>
      </c>
      <c r="I29" s="90" t="s">
        <v>260</v>
      </c>
      <c r="J29" s="42">
        <v>100</v>
      </c>
      <c r="K29" s="42">
        <v>100</v>
      </c>
      <c r="L29" s="42">
        <v>100</v>
      </c>
      <c r="M29" s="63">
        <v>100</v>
      </c>
      <c r="N29" s="63">
        <v>100</v>
      </c>
      <c r="O29" s="41">
        <v>100</v>
      </c>
      <c r="P29" s="41">
        <v>100</v>
      </c>
      <c r="Q29" s="41">
        <v>100</v>
      </c>
      <c r="R29" s="63">
        <v>100</v>
      </c>
      <c r="S29" s="63">
        <v>100</v>
      </c>
      <c r="T29" s="63">
        <v>100</v>
      </c>
      <c r="U29" s="42">
        <v>100</v>
      </c>
      <c r="V29" s="90">
        <v>2024</v>
      </c>
      <c r="W29" s="4">
        <f t="shared" si="2"/>
        <v>0</v>
      </c>
      <c r="X29" s="4">
        <f t="shared" si="3"/>
        <v>0</v>
      </c>
    </row>
    <row r="30" spans="1:24" ht="51">
      <c r="A30" s="36" t="s">
        <v>254</v>
      </c>
      <c r="B30" s="37">
        <v>1</v>
      </c>
      <c r="C30" s="37">
        <v>1</v>
      </c>
      <c r="D30" s="37">
        <v>1</v>
      </c>
      <c r="E30" s="37">
        <v>0</v>
      </c>
      <c r="F30" s="37">
        <v>1</v>
      </c>
      <c r="G30" s="38"/>
      <c r="H30" s="43" t="s">
        <v>215</v>
      </c>
      <c r="I30" s="38" t="s">
        <v>279</v>
      </c>
      <c r="J30" s="44" t="s">
        <v>280</v>
      </c>
      <c r="K30" s="44" t="s">
        <v>280</v>
      </c>
      <c r="L30" s="44" t="s">
        <v>280</v>
      </c>
      <c r="M30" s="44" t="s">
        <v>280</v>
      </c>
      <c r="N30" s="44" t="s">
        <v>280</v>
      </c>
      <c r="O30" s="44" t="s">
        <v>280</v>
      </c>
      <c r="P30" s="44" t="s">
        <v>280</v>
      </c>
      <c r="Q30" s="44" t="s">
        <v>280</v>
      </c>
      <c r="R30" s="46" t="s">
        <v>280</v>
      </c>
      <c r="S30" s="46" t="s">
        <v>280</v>
      </c>
      <c r="T30" s="46" t="s">
        <v>280</v>
      </c>
      <c r="U30" s="46" t="s">
        <v>280</v>
      </c>
      <c r="V30" s="38">
        <v>2024</v>
      </c>
      <c r="W30" s="4"/>
      <c r="X30" s="4"/>
    </row>
    <row r="31" spans="1:24" ht="51">
      <c r="A31" s="160" t="s">
        <v>254</v>
      </c>
      <c r="B31" s="88">
        <v>1</v>
      </c>
      <c r="C31" s="88">
        <v>1</v>
      </c>
      <c r="D31" s="88">
        <v>1</v>
      </c>
      <c r="E31" s="88">
        <v>0</v>
      </c>
      <c r="F31" s="88">
        <v>1</v>
      </c>
      <c r="G31" s="90"/>
      <c r="H31" s="163" t="s">
        <v>281</v>
      </c>
      <c r="I31" s="90" t="s">
        <v>260</v>
      </c>
      <c r="J31" s="42">
        <v>100</v>
      </c>
      <c r="K31" s="42">
        <v>100</v>
      </c>
      <c r="L31" s="42">
        <v>100</v>
      </c>
      <c r="M31" s="63">
        <v>100</v>
      </c>
      <c r="N31" s="63">
        <v>100</v>
      </c>
      <c r="O31" s="41">
        <v>100</v>
      </c>
      <c r="P31" s="41">
        <v>100</v>
      </c>
      <c r="Q31" s="41">
        <v>100</v>
      </c>
      <c r="R31" s="63">
        <v>100</v>
      </c>
      <c r="S31" s="63">
        <v>100</v>
      </c>
      <c r="T31" s="63">
        <v>100</v>
      </c>
      <c r="U31" s="63">
        <v>100</v>
      </c>
      <c r="V31" s="90">
        <v>2024</v>
      </c>
      <c r="W31" s="4">
        <f t="shared" si="2"/>
        <v>0</v>
      </c>
      <c r="X31" s="4">
        <f t="shared" si="3"/>
        <v>0</v>
      </c>
    </row>
    <row r="32" spans="1:26" s="7" customFormat="1" ht="51">
      <c r="A32" s="36" t="s">
        <v>254</v>
      </c>
      <c r="B32" s="37">
        <v>1</v>
      </c>
      <c r="C32" s="37">
        <v>1</v>
      </c>
      <c r="D32" s="37">
        <v>1</v>
      </c>
      <c r="E32" s="37">
        <v>0</v>
      </c>
      <c r="F32" s="37">
        <v>2</v>
      </c>
      <c r="G32" s="37"/>
      <c r="H32" s="49" t="s">
        <v>375</v>
      </c>
      <c r="I32" s="37" t="s">
        <v>255</v>
      </c>
      <c r="J32" s="45">
        <f aca="true" t="shared" si="12" ref="J32:T32">J33+J34</f>
        <v>1304560.8</v>
      </c>
      <c r="K32" s="45">
        <f t="shared" si="12"/>
        <v>1386401.7</v>
      </c>
      <c r="L32" s="45">
        <f t="shared" si="12"/>
        <v>1641825.7</v>
      </c>
      <c r="M32" s="50">
        <f t="shared" si="12"/>
        <v>1827134.8</v>
      </c>
      <c r="N32" s="50">
        <f t="shared" si="12"/>
        <v>1829049.9</v>
      </c>
      <c r="O32" s="50">
        <f t="shared" si="12"/>
        <v>1893930.4</v>
      </c>
      <c r="P32" s="50">
        <f t="shared" si="12"/>
        <v>1910715</v>
      </c>
      <c r="Q32" s="50">
        <f t="shared" si="12"/>
        <v>1957020.6</v>
      </c>
      <c r="R32" s="50">
        <f t="shared" si="12"/>
        <v>1978960.5</v>
      </c>
      <c r="S32" s="50">
        <f t="shared" si="12"/>
        <v>1978960.5</v>
      </c>
      <c r="T32" s="50">
        <f t="shared" si="12"/>
        <v>1978960.5</v>
      </c>
      <c r="U32" s="45">
        <f>J32+K32+L32+M32+O32+Q32+R32+S32+T32</f>
        <v>15947755.5</v>
      </c>
      <c r="V32" s="37">
        <v>2024</v>
      </c>
      <c r="W32" s="4">
        <f t="shared" si="2"/>
        <v>64880.5</v>
      </c>
      <c r="X32" s="4">
        <f t="shared" si="3"/>
        <v>46305.6</v>
      </c>
      <c r="Y32" s="4"/>
      <c r="Z32" s="3"/>
    </row>
    <row r="33" spans="1:26" s="7" customFormat="1" ht="12.75">
      <c r="A33" s="33" t="s">
        <v>254</v>
      </c>
      <c r="B33" s="34">
        <v>1</v>
      </c>
      <c r="C33" s="34">
        <v>1</v>
      </c>
      <c r="D33" s="34">
        <v>1</v>
      </c>
      <c r="E33" s="34">
        <v>0</v>
      </c>
      <c r="F33" s="34">
        <v>2</v>
      </c>
      <c r="G33" s="34">
        <v>3</v>
      </c>
      <c r="H33" s="51" t="s">
        <v>256</v>
      </c>
      <c r="I33" s="34" t="s">
        <v>255</v>
      </c>
      <c r="J33" s="53">
        <f>350074.9+300-2467.9</f>
        <v>347907</v>
      </c>
      <c r="K33" s="53">
        <f>365379.5-0.07</f>
        <v>365379.4</v>
      </c>
      <c r="L33" s="53">
        <v>428394.5</v>
      </c>
      <c r="M33" s="65">
        <v>540651.4</v>
      </c>
      <c r="N33" s="65">
        <v>475778.6</v>
      </c>
      <c r="O33" s="67">
        <v>540659.2</v>
      </c>
      <c r="P33" s="67">
        <v>475778.6</v>
      </c>
      <c r="Q33" s="67">
        <v>522084.2</v>
      </c>
      <c r="R33" s="67">
        <v>544024.1</v>
      </c>
      <c r="S33" s="67">
        <v>544024.1</v>
      </c>
      <c r="T33" s="67">
        <v>544024.1</v>
      </c>
      <c r="U33" s="53">
        <f>J33+K33+L33+M33+O33+Q33+R33+S33+T33</f>
        <v>4377148</v>
      </c>
      <c r="V33" s="88">
        <v>2024</v>
      </c>
      <c r="W33" s="4">
        <f t="shared" si="2"/>
        <v>64880.6</v>
      </c>
      <c r="X33" s="4">
        <f t="shared" si="3"/>
        <v>46305.6</v>
      </c>
      <c r="Y33" s="4"/>
      <c r="Z33" s="3"/>
    </row>
    <row r="34" spans="1:26" s="7" customFormat="1" ht="12.75">
      <c r="A34" s="33" t="s">
        <v>254</v>
      </c>
      <c r="B34" s="34">
        <v>1</v>
      </c>
      <c r="C34" s="34">
        <v>1</v>
      </c>
      <c r="D34" s="34">
        <v>1</v>
      </c>
      <c r="E34" s="34">
        <v>0</v>
      </c>
      <c r="F34" s="34">
        <v>2</v>
      </c>
      <c r="G34" s="34">
        <v>2</v>
      </c>
      <c r="H34" s="51" t="s">
        <v>257</v>
      </c>
      <c r="I34" s="34" t="s">
        <v>255</v>
      </c>
      <c r="J34" s="53">
        <v>956653.8</v>
      </c>
      <c r="K34" s="53">
        <f>1011563.8+9458.5</f>
        <v>1021022.3</v>
      </c>
      <c r="L34" s="53">
        <v>1213431.2</v>
      </c>
      <c r="M34" s="65">
        <v>1286483.4</v>
      </c>
      <c r="N34" s="65">
        <v>1353271.3</v>
      </c>
      <c r="O34" s="67">
        <v>1353271.2</v>
      </c>
      <c r="P34" s="67">
        <v>1434936.4</v>
      </c>
      <c r="Q34" s="67">
        <v>1434936.4</v>
      </c>
      <c r="R34" s="67">
        <v>1434936.4</v>
      </c>
      <c r="S34" s="67">
        <v>1434936.4</v>
      </c>
      <c r="T34" s="67">
        <v>1434936.4</v>
      </c>
      <c r="U34" s="53">
        <f>J34+K34+L34+M34+O34+Q34+R34+S34+T34</f>
        <v>11570607.5</v>
      </c>
      <c r="V34" s="88">
        <v>2024</v>
      </c>
      <c r="W34" s="4">
        <f t="shared" si="2"/>
        <v>-0.1</v>
      </c>
      <c r="X34" s="4">
        <f t="shared" si="3"/>
        <v>0</v>
      </c>
      <c r="Y34" s="4"/>
      <c r="Z34" s="3"/>
    </row>
    <row r="35" spans="1:24" ht="51">
      <c r="A35" s="160" t="s">
        <v>254</v>
      </c>
      <c r="B35" s="88">
        <v>1</v>
      </c>
      <c r="C35" s="88">
        <v>1</v>
      </c>
      <c r="D35" s="88">
        <v>1</v>
      </c>
      <c r="E35" s="88">
        <v>0</v>
      </c>
      <c r="F35" s="88">
        <v>2</v>
      </c>
      <c r="G35" s="90"/>
      <c r="H35" s="165" t="s">
        <v>282</v>
      </c>
      <c r="I35" s="90" t="s">
        <v>283</v>
      </c>
      <c r="J35" s="48">
        <v>10602</v>
      </c>
      <c r="K35" s="48">
        <v>11344</v>
      </c>
      <c r="L35" s="48">
        <v>11226</v>
      </c>
      <c r="M35" s="97">
        <v>11546</v>
      </c>
      <c r="N35" s="97">
        <v>11841</v>
      </c>
      <c r="O35" s="98">
        <v>12046</v>
      </c>
      <c r="P35" s="98">
        <v>11841</v>
      </c>
      <c r="Q35" s="98">
        <v>12446</v>
      </c>
      <c r="R35" s="98">
        <v>12446</v>
      </c>
      <c r="S35" s="97">
        <v>12446</v>
      </c>
      <c r="T35" s="97">
        <v>12446</v>
      </c>
      <c r="U35" s="48">
        <v>12446</v>
      </c>
      <c r="V35" s="90">
        <v>2024</v>
      </c>
      <c r="W35" s="4">
        <f t="shared" si="2"/>
        <v>205</v>
      </c>
      <c r="X35" s="4">
        <f t="shared" si="3"/>
        <v>605</v>
      </c>
    </row>
    <row r="36" spans="1:24" ht="76.5">
      <c r="A36" s="160" t="s">
        <v>254</v>
      </c>
      <c r="B36" s="88">
        <v>1</v>
      </c>
      <c r="C36" s="88">
        <v>1</v>
      </c>
      <c r="D36" s="88">
        <v>1</v>
      </c>
      <c r="E36" s="88">
        <v>0</v>
      </c>
      <c r="F36" s="88">
        <v>2</v>
      </c>
      <c r="G36" s="90"/>
      <c r="H36" s="165" t="s">
        <v>108</v>
      </c>
      <c r="I36" s="90" t="s">
        <v>260</v>
      </c>
      <c r="J36" s="96">
        <f>326736/J9*100</f>
        <v>29.5</v>
      </c>
      <c r="K36" s="96">
        <f>343955.4/K9*100</f>
        <v>28.3</v>
      </c>
      <c r="L36" s="96">
        <f>402987.6/L9*100</f>
        <v>29</v>
      </c>
      <c r="M36" s="66">
        <v>29.3</v>
      </c>
      <c r="N36" s="66">
        <v>31.9</v>
      </c>
      <c r="O36" s="79">
        <f>511136.8/O9*100</f>
        <v>31.8</v>
      </c>
      <c r="P36" s="79">
        <v>31.8</v>
      </c>
      <c r="Q36" s="79">
        <f>493552.2/Q9*100</f>
        <v>31.5</v>
      </c>
      <c r="R36" s="79">
        <f>514238.3/R9*100</f>
        <v>31.6</v>
      </c>
      <c r="S36" s="79">
        <f>514238.3/S9*100</f>
        <v>31.6</v>
      </c>
      <c r="T36" s="79">
        <f>514238.3/T9*100</f>
        <v>31.6</v>
      </c>
      <c r="U36" s="99">
        <f>(J36+K36+L36+M36+O36+Q36+R36+S36+T36)/9</f>
        <v>30.5</v>
      </c>
      <c r="V36" s="90">
        <v>2024</v>
      </c>
      <c r="W36" s="4">
        <f t="shared" si="2"/>
        <v>-0.1</v>
      </c>
      <c r="X36" s="4">
        <f t="shared" si="3"/>
        <v>-0.3</v>
      </c>
    </row>
    <row r="37" spans="1:24" ht="119.25" customHeight="1">
      <c r="A37" s="160" t="s">
        <v>254</v>
      </c>
      <c r="B37" s="88">
        <v>1</v>
      </c>
      <c r="C37" s="88">
        <v>1</v>
      </c>
      <c r="D37" s="88">
        <v>1</v>
      </c>
      <c r="E37" s="88">
        <v>0</v>
      </c>
      <c r="F37" s="88">
        <v>2</v>
      </c>
      <c r="G37" s="166"/>
      <c r="H37" s="165" t="s">
        <v>163</v>
      </c>
      <c r="I37" s="90" t="s">
        <v>255</v>
      </c>
      <c r="J37" s="42">
        <f>J34/(J35+J38)</f>
        <v>85.6</v>
      </c>
      <c r="K37" s="42">
        <v>84.6</v>
      </c>
      <c r="L37" s="42">
        <f aca="true" t="shared" si="13" ref="L37:T37">L34/(L35+L38)</f>
        <v>102.3</v>
      </c>
      <c r="M37" s="41">
        <v>105.7</v>
      </c>
      <c r="N37" s="41">
        <v>108.6</v>
      </c>
      <c r="O37" s="41">
        <f>O34/(O35+O38)</f>
        <v>107.1</v>
      </c>
      <c r="P37" s="41">
        <v>115.1</v>
      </c>
      <c r="Q37" s="41">
        <f t="shared" si="13"/>
        <v>110.1</v>
      </c>
      <c r="R37" s="41">
        <f t="shared" si="13"/>
        <v>110.1</v>
      </c>
      <c r="S37" s="41">
        <f t="shared" si="13"/>
        <v>110.1</v>
      </c>
      <c r="T37" s="41">
        <f t="shared" si="13"/>
        <v>110.1</v>
      </c>
      <c r="U37" s="99">
        <f>(J37+K37+L37+M37+O37+Q37+R37+S37+T37)/9</f>
        <v>102.9</v>
      </c>
      <c r="V37" s="90">
        <v>2024</v>
      </c>
      <c r="W37" s="4">
        <f t="shared" si="2"/>
        <v>-1.5</v>
      </c>
      <c r="X37" s="4">
        <f t="shared" si="3"/>
        <v>-5</v>
      </c>
    </row>
    <row r="38" spans="1:24" ht="76.5">
      <c r="A38" s="160" t="s">
        <v>254</v>
      </c>
      <c r="B38" s="88">
        <v>1</v>
      </c>
      <c r="C38" s="88">
        <v>1</v>
      </c>
      <c r="D38" s="88">
        <v>1</v>
      </c>
      <c r="E38" s="88">
        <v>0</v>
      </c>
      <c r="F38" s="88">
        <v>2</v>
      </c>
      <c r="G38" s="166"/>
      <c r="H38" s="165" t="s">
        <v>164</v>
      </c>
      <c r="I38" s="90" t="s">
        <v>283</v>
      </c>
      <c r="J38" s="48">
        <v>579</v>
      </c>
      <c r="K38" s="48">
        <v>621</v>
      </c>
      <c r="L38" s="48">
        <v>636</v>
      </c>
      <c r="M38" s="97">
        <v>622</v>
      </c>
      <c r="N38" s="97">
        <v>622</v>
      </c>
      <c r="O38" s="98">
        <v>589</v>
      </c>
      <c r="P38" s="98">
        <v>622</v>
      </c>
      <c r="Q38" s="98">
        <v>587</v>
      </c>
      <c r="R38" s="98">
        <v>587</v>
      </c>
      <c r="S38" s="97">
        <v>587</v>
      </c>
      <c r="T38" s="97">
        <v>587</v>
      </c>
      <c r="U38" s="99">
        <v>587</v>
      </c>
      <c r="V38" s="90">
        <v>2024</v>
      </c>
      <c r="W38" s="4">
        <f t="shared" si="2"/>
        <v>-33</v>
      </c>
      <c r="X38" s="4">
        <f t="shared" si="3"/>
        <v>-35</v>
      </c>
    </row>
    <row r="39" spans="1:24" ht="89.25">
      <c r="A39" s="160" t="s">
        <v>254</v>
      </c>
      <c r="B39" s="88">
        <v>1</v>
      </c>
      <c r="C39" s="88">
        <v>1</v>
      </c>
      <c r="D39" s="88">
        <v>1</v>
      </c>
      <c r="E39" s="88">
        <v>0</v>
      </c>
      <c r="F39" s="88">
        <v>2</v>
      </c>
      <c r="G39" s="166"/>
      <c r="H39" s="165" t="s">
        <v>109</v>
      </c>
      <c r="I39" s="90" t="s">
        <v>260</v>
      </c>
      <c r="J39" s="96">
        <f>21171/J9*100</f>
        <v>1.9</v>
      </c>
      <c r="K39" s="96">
        <f>21424/K9*100</f>
        <v>1.8</v>
      </c>
      <c r="L39" s="96">
        <f>25406.8/L9*100</f>
        <v>1.8</v>
      </c>
      <c r="M39" s="100">
        <v>1.8</v>
      </c>
      <c r="N39" s="100">
        <v>2</v>
      </c>
      <c r="O39" s="80">
        <f>29552.4/O9*100</f>
        <v>1.8</v>
      </c>
      <c r="P39" s="80">
        <v>1.9</v>
      </c>
      <c r="Q39" s="80">
        <f>28532/Q9*100</f>
        <v>1.8</v>
      </c>
      <c r="R39" s="80">
        <f>29785.8/R9*100</f>
        <v>1.8</v>
      </c>
      <c r="S39" s="80">
        <f>29785.8/S9*100</f>
        <v>1.8</v>
      </c>
      <c r="T39" s="80">
        <f>29785.8/T9*100</f>
        <v>1.8</v>
      </c>
      <c r="U39" s="99">
        <f>(J39+K39+L39+M39+O39+Q39+R39+S39+T39)/9</f>
        <v>1.8</v>
      </c>
      <c r="V39" s="90">
        <v>2024</v>
      </c>
      <c r="W39" s="4">
        <f t="shared" si="2"/>
        <v>-0.2</v>
      </c>
      <c r="X39" s="4">
        <f t="shared" si="3"/>
        <v>-0.1</v>
      </c>
    </row>
    <row r="40" spans="1:24" ht="63.75">
      <c r="A40" s="160" t="s">
        <v>254</v>
      </c>
      <c r="B40" s="88">
        <v>1</v>
      </c>
      <c r="C40" s="88">
        <v>1</v>
      </c>
      <c r="D40" s="88">
        <v>1</v>
      </c>
      <c r="E40" s="88">
        <v>0</v>
      </c>
      <c r="F40" s="88">
        <v>2</v>
      </c>
      <c r="G40" s="166"/>
      <c r="H40" s="165" t="s">
        <v>137</v>
      </c>
      <c r="I40" s="90" t="s">
        <v>82</v>
      </c>
      <c r="J40" s="96">
        <v>0</v>
      </c>
      <c r="K40" s="42">
        <v>31452.8</v>
      </c>
      <c r="L40" s="42">
        <v>35199.6</v>
      </c>
      <c r="M40" s="63">
        <v>39093.8</v>
      </c>
      <c r="N40" s="63">
        <v>39093.8</v>
      </c>
      <c r="O40" s="41">
        <v>40408.1</v>
      </c>
      <c r="P40" s="41">
        <v>39093.8</v>
      </c>
      <c r="Q40" s="41">
        <v>40408.1</v>
      </c>
      <c r="R40" s="41">
        <v>40408.1</v>
      </c>
      <c r="S40" s="41">
        <v>40408.1</v>
      </c>
      <c r="T40" s="41">
        <v>40408.1</v>
      </c>
      <c r="U40" s="42">
        <v>40408.1</v>
      </c>
      <c r="V40" s="90">
        <v>2024</v>
      </c>
      <c r="W40" s="4">
        <f t="shared" si="2"/>
        <v>1314.3</v>
      </c>
      <c r="X40" s="4">
        <f t="shared" si="3"/>
        <v>1314.3</v>
      </c>
    </row>
    <row r="41" spans="1:24" ht="84" customHeight="1">
      <c r="A41" s="160" t="s">
        <v>254</v>
      </c>
      <c r="B41" s="88">
        <v>1</v>
      </c>
      <c r="C41" s="88">
        <v>1</v>
      </c>
      <c r="D41" s="88">
        <v>1</v>
      </c>
      <c r="E41" s="88">
        <v>0</v>
      </c>
      <c r="F41" s="88">
        <v>2</v>
      </c>
      <c r="G41" s="90"/>
      <c r="H41" s="163" t="s">
        <v>127</v>
      </c>
      <c r="I41" s="90" t="s">
        <v>283</v>
      </c>
      <c r="J41" s="104">
        <v>0</v>
      </c>
      <c r="K41" s="48">
        <v>0</v>
      </c>
      <c r="L41" s="48">
        <v>722</v>
      </c>
      <c r="M41" s="74">
        <v>772</v>
      </c>
      <c r="N41" s="74">
        <v>535</v>
      </c>
      <c r="O41" s="74">
        <v>535</v>
      </c>
      <c r="P41" s="74">
        <v>526</v>
      </c>
      <c r="Q41" s="74">
        <v>526</v>
      </c>
      <c r="R41" s="74">
        <v>526</v>
      </c>
      <c r="S41" s="74">
        <v>526</v>
      </c>
      <c r="T41" s="74">
        <v>526</v>
      </c>
      <c r="U41" s="48">
        <f aca="true" t="shared" si="14" ref="U41:U51">J41+K41+L41+M41+O41+Q41+R41+S41+T41</f>
        <v>4133</v>
      </c>
      <c r="V41" s="90">
        <v>2024</v>
      </c>
      <c r="W41" s="77">
        <f t="shared" si="2"/>
        <v>0</v>
      </c>
      <c r="X41" s="77">
        <f t="shared" si="3"/>
        <v>0</v>
      </c>
    </row>
    <row r="42" spans="1:26" s="7" customFormat="1" ht="89.25">
      <c r="A42" s="36" t="s">
        <v>254</v>
      </c>
      <c r="B42" s="37">
        <v>1</v>
      </c>
      <c r="C42" s="37">
        <v>1</v>
      </c>
      <c r="D42" s="37">
        <v>1</v>
      </c>
      <c r="E42" s="37">
        <v>0</v>
      </c>
      <c r="F42" s="37">
        <v>3</v>
      </c>
      <c r="G42" s="37"/>
      <c r="H42" s="49" t="s">
        <v>376</v>
      </c>
      <c r="I42" s="37" t="s">
        <v>255</v>
      </c>
      <c r="J42" s="45">
        <f aca="true" t="shared" si="15" ref="J42:T42">J43</f>
        <v>82585</v>
      </c>
      <c r="K42" s="45">
        <f t="shared" si="15"/>
        <v>89695.7</v>
      </c>
      <c r="L42" s="45">
        <f t="shared" si="15"/>
        <v>94239.3</v>
      </c>
      <c r="M42" s="45">
        <f t="shared" si="15"/>
        <v>107189.7</v>
      </c>
      <c r="N42" s="45">
        <f t="shared" si="15"/>
        <v>33826.2</v>
      </c>
      <c r="O42" s="45">
        <f t="shared" si="15"/>
        <v>33826.2</v>
      </c>
      <c r="P42" s="45">
        <f t="shared" si="15"/>
        <v>33826.2</v>
      </c>
      <c r="Q42" s="45">
        <f t="shared" si="15"/>
        <v>33826.2</v>
      </c>
      <c r="R42" s="50">
        <f t="shared" si="15"/>
        <v>33826.2</v>
      </c>
      <c r="S42" s="50">
        <f t="shared" si="15"/>
        <v>33826.2</v>
      </c>
      <c r="T42" s="50">
        <f t="shared" si="15"/>
        <v>33826.2</v>
      </c>
      <c r="U42" s="45">
        <f t="shared" si="14"/>
        <v>542840.7</v>
      </c>
      <c r="V42" s="37">
        <v>2024</v>
      </c>
      <c r="W42" s="4">
        <f t="shared" si="2"/>
        <v>0</v>
      </c>
      <c r="X42" s="4">
        <f t="shared" si="3"/>
        <v>0</v>
      </c>
      <c r="Y42" s="4"/>
      <c r="Z42" s="3"/>
    </row>
    <row r="43" spans="1:26" s="7" customFormat="1" ht="12.75">
      <c r="A43" s="33" t="s">
        <v>254</v>
      </c>
      <c r="B43" s="34">
        <v>1</v>
      </c>
      <c r="C43" s="34">
        <v>1</v>
      </c>
      <c r="D43" s="34">
        <v>1</v>
      </c>
      <c r="E43" s="34">
        <v>0</v>
      </c>
      <c r="F43" s="34">
        <v>3</v>
      </c>
      <c r="G43" s="34">
        <v>2</v>
      </c>
      <c r="H43" s="51" t="s">
        <v>257</v>
      </c>
      <c r="I43" s="88" t="s">
        <v>255</v>
      </c>
      <c r="J43" s="53">
        <f>72635+9950</f>
        <v>82585</v>
      </c>
      <c r="K43" s="53">
        <v>89695.7</v>
      </c>
      <c r="L43" s="53">
        <v>94239.3</v>
      </c>
      <c r="M43" s="65">
        <v>107189.7</v>
      </c>
      <c r="N43" s="65">
        <v>33826.2</v>
      </c>
      <c r="O43" s="67">
        <v>33826.2</v>
      </c>
      <c r="P43" s="67">
        <v>33826.2</v>
      </c>
      <c r="Q43" s="67">
        <v>33826.2</v>
      </c>
      <c r="R43" s="67">
        <v>33826.2</v>
      </c>
      <c r="S43" s="67">
        <v>33826.2</v>
      </c>
      <c r="T43" s="67">
        <v>33826.2</v>
      </c>
      <c r="U43" s="53">
        <f t="shared" si="14"/>
        <v>542840.7</v>
      </c>
      <c r="V43" s="88">
        <v>2024</v>
      </c>
      <c r="W43" s="4">
        <f t="shared" si="2"/>
        <v>0</v>
      </c>
      <c r="X43" s="4">
        <f t="shared" si="3"/>
        <v>0</v>
      </c>
      <c r="Y43" s="4"/>
      <c r="Z43" s="3"/>
    </row>
    <row r="44" spans="1:24" ht="89.25">
      <c r="A44" s="33" t="s">
        <v>254</v>
      </c>
      <c r="B44" s="34">
        <v>1</v>
      </c>
      <c r="C44" s="34">
        <v>1</v>
      </c>
      <c r="D44" s="34">
        <v>1</v>
      </c>
      <c r="E44" s="34">
        <v>0</v>
      </c>
      <c r="F44" s="34">
        <v>3</v>
      </c>
      <c r="G44" s="136"/>
      <c r="H44" s="54" t="s">
        <v>165</v>
      </c>
      <c r="I44" s="90" t="s">
        <v>283</v>
      </c>
      <c r="J44" s="48">
        <v>6643</v>
      </c>
      <c r="K44" s="48">
        <f>6540+7</f>
        <v>6547</v>
      </c>
      <c r="L44" s="48">
        <v>6125</v>
      </c>
      <c r="M44" s="97">
        <v>6025</v>
      </c>
      <c r="N44" s="97">
        <v>6671</v>
      </c>
      <c r="O44" s="70">
        <v>6552</v>
      </c>
      <c r="P44" s="70">
        <v>6670</v>
      </c>
      <c r="Q44" s="70">
        <v>6763</v>
      </c>
      <c r="R44" s="70">
        <v>6763</v>
      </c>
      <c r="S44" s="70">
        <v>6763</v>
      </c>
      <c r="T44" s="70">
        <v>6763</v>
      </c>
      <c r="U44" s="48">
        <f t="shared" si="14"/>
        <v>58944</v>
      </c>
      <c r="V44" s="90">
        <v>2024</v>
      </c>
      <c r="W44" s="4">
        <f t="shared" si="2"/>
        <v>-119</v>
      </c>
      <c r="X44" s="4">
        <f t="shared" si="3"/>
        <v>93</v>
      </c>
    </row>
    <row r="45" spans="1:24" ht="89.25">
      <c r="A45" s="33" t="s">
        <v>254</v>
      </c>
      <c r="B45" s="34">
        <v>1</v>
      </c>
      <c r="C45" s="34">
        <v>1</v>
      </c>
      <c r="D45" s="34">
        <v>1</v>
      </c>
      <c r="E45" s="34">
        <v>0</v>
      </c>
      <c r="F45" s="34">
        <v>3</v>
      </c>
      <c r="G45" s="136"/>
      <c r="H45" s="54" t="s">
        <v>166</v>
      </c>
      <c r="I45" s="90" t="s">
        <v>283</v>
      </c>
      <c r="J45" s="48">
        <v>4101</v>
      </c>
      <c r="K45" s="48">
        <f>4412-2</f>
        <v>4410</v>
      </c>
      <c r="L45" s="48">
        <v>4985</v>
      </c>
      <c r="M45" s="97">
        <v>4986</v>
      </c>
      <c r="N45" s="97">
        <v>4377</v>
      </c>
      <c r="O45" s="70">
        <v>5066</v>
      </c>
      <c r="P45" s="70">
        <v>4377</v>
      </c>
      <c r="Q45" s="70">
        <v>5229</v>
      </c>
      <c r="R45" s="70">
        <v>5229</v>
      </c>
      <c r="S45" s="70">
        <v>5229</v>
      </c>
      <c r="T45" s="70">
        <v>5229</v>
      </c>
      <c r="U45" s="48">
        <f t="shared" si="14"/>
        <v>44464</v>
      </c>
      <c r="V45" s="90">
        <v>2024</v>
      </c>
      <c r="W45" s="4">
        <f t="shared" si="2"/>
        <v>689</v>
      </c>
      <c r="X45" s="4">
        <f t="shared" si="3"/>
        <v>852</v>
      </c>
    </row>
    <row r="46" spans="1:24" ht="89.25">
      <c r="A46" s="33" t="s">
        <v>254</v>
      </c>
      <c r="B46" s="34">
        <v>1</v>
      </c>
      <c r="C46" s="34">
        <v>1</v>
      </c>
      <c r="D46" s="34">
        <v>1</v>
      </c>
      <c r="E46" s="34">
        <v>0</v>
      </c>
      <c r="F46" s="34">
        <v>3</v>
      </c>
      <c r="G46" s="136"/>
      <c r="H46" s="54" t="s">
        <v>167</v>
      </c>
      <c r="I46" s="90" t="s">
        <v>283</v>
      </c>
      <c r="J46" s="101">
        <v>527</v>
      </c>
      <c r="K46" s="101">
        <v>640</v>
      </c>
      <c r="L46" s="101">
        <v>827</v>
      </c>
      <c r="M46" s="102">
        <v>863</v>
      </c>
      <c r="N46" s="102">
        <v>619</v>
      </c>
      <c r="O46" s="103">
        <v>744</v>
      </c>
      <c r="P46" s="103">
        <v>619</v>
      </c>
      <c r="Q46" s="103">
        <v>768</v>
      </c>
      <c r="R46" s="103">
        <v>768</v>
      </c>
      <c r="S46" s="103">
        <v>768</v>
      </c>
      <c r="T46" s="103">
        <v>768</v>
      </c>
      <c r="U46" s="48">
        <f t="shared" si="14"/>
        <v>6673</v>
      </c>
      <c r="V46" s="90">
        <v>2024</v>
      </c>
      <c r="W46" s="4">
        <f t="shared" si="2"/>
        <v>125</v>
      </c>
      <c r="X46" s="4">
        <f t="shared" si="3"/>
        <v>149</v>
      </c>
    </row>
    <row r="47" spans="1:26" s="7" customFormat="1" ht="89.25">
      <c r="A47" s="36" t="s">
        <v>254</v>
      </c>
      <c r="B47" s="37">
        <v>1</v>
      </c>
      <c r="C47" s="37">
        <v>1</v>
      </c>
      <c r="D47" s="37">
        <v>1</v>
      </c>
      <c r="E47" s="37">
        <v>0</v>
      </c>
      <c r="F47" s="37">
        <v>4</v>
      </c>
      <c r="G47" s="37"/>
      <c r="H47" s="49" t="s">
        <v>377</v>
      </c>
      <c r="I47" s="37" t="s">
        <v>255</v>
      </c>
      <c r="J47" s="45">
        <f aca="true" t="shared" si="16" ref="J47:T47">J48</f>
        <v>2973</v>
      </c>
      <c r="K47" s="45">
        <f t="shared" si="16"/>
        <v>1543</v>
      </c>
      <c r="L47" s="45">
        <f t="shared" si="16"/>
        <v>1087.7</v>
      </c>
      <c r="M47" s="45">
        <f t="shared" si="16"/>
        <v>719.7</v>
      </c>
      <c r="N47" s="45">
        <f t="shared" si="16"/>
        <v>1500.5</v>
      </c>
      <c r="O47" s="45">
        <f t="shared" si="16"/>
        <v>937</v>
      </c>
      <c r="P47" s="45">
        <f t="shared" si="16"/>
        <v>1500.5</v>
      </c>
      <c r="Q47" s="45">
        <f t="shared" si="16"/>
        <v>937</v>
      </c>
      <c r="R47" s="50">
        <f t="shared" si="16"/>
        <v>937</v>
      </c>
      <c r="S47" s="50">
        <f t="shared" si="16"/>
        <v>937</v>
      </c>
      <c r="T47" s="50">
        <f t="shared" si="16"/>
        <v>937</v>
      </c>
      <c r="U47" s="45">
        <f t="shared" si="14"/>
        <v>11008.4</v>
      </c>
      <c r="V47" s="37">
        <v>2024</v>
      </c>
      <c r="W47" s="4">
        <f t="shared" si="2"/>
        <v>-563.5</v>
      </c>
      <c r="X47" s="4">
        <f t="shared" si="3"/>
        <v>-563.5</v>
      </c>
      <c r="Y47" s="4"/>
      <c r="Z47" s="3"/>
    </row>
    <row r="48" spans="1:26" s="7" customFormat="1" ht="12.75">
      <c r="A48" s="33" t="s">
        <v>254</v>
      </c>
      <c r="B48" s="34">
        <v>1</v>
      </c>
      <c r="C48" s="34">
        <v>1</v>
      </c>
      <c r="D48" s="34">
        <v>1</v>
      </c>
      <c r="E48" s="34">
        <v>0</v>
      </c>
      <c r="F48" s="34">
        <v>4</v>
      </c>
      <c r="G48" s="34">
        <v>3</v>
      </c>
      <c r="H48" s="51" t="s">
        <v>256</v>
      </c>
      <c r="I48" s="88" t="s">
        <v>255</v>
      </c>
      <c r="J48" s="53">
        <f>2982.9-9.9</f>
        <v>2973</v>
      </c>
      <c r="K48" s="53">
        <v>1543</v>
      </c>
      <c r="L48" s="53">
        <v>1087.7</v>
      </c>
      <c r="M48" s="65">
        <v>719.7</v>
      </c>
      <c r="N48" s="65">
        <v>1500.5</v>
      </c>
      <c r="O48" s="67">
        <v>937</v>
      </c>
      <c r="P48" s="67">
        <v>1500.5</v>
      </c>
      <c r="Q48" s="67">
        <v>937</v>
      </c>
      <c r="R48" s="67">
        <v>937</v>
      </c>
      <c r="S48" s="67">
        <v>937</v>
      </c>
      <c r="T48" s="67">
        <v>937</v>
      </c>
      <c r="U48" s="53">
        <f t="shared" si="14"/>
        <v>11008.4</v>
      </c>
      <c r="V48" s="88">
        <v>2024</v>
      </c>
      <c r="W48" s="4">
        <f t="shared" si="2"/>
        <v>-563.5</v>
      </c>
      <c r="X48" s="4">
        <f t="shared" si="3"/>
        <v>-563.5</v>
      </c>
      <c r="Y48" s="4"/>
      <c r="Z48" s="3"/>
    </row>
    <row r="49" spans="1:24" ht="102">
      <c r="A49" s="33" t="s">
        <v>254</v>
      </c>
      <c r="B49" s="34">
        <v>1</v>
      </c>
      <c r="C49" s="34">
        <v>1</v>
      </c>
      <c r="D49" s="34">
        <v>1</v>
      </c>
      <c r="E49" s="34">
        <v>0</v>
      </c>
      <c r="F49" s="34">
        <v>4</v>
      </c>
      <c r="G49" s="136"/>
      <c r="H49" s="54" t="s">
        <v>50</v>
      </c>
      <c r="I49" s="90" t="s">
        <v>255</v>
      </c>
      <c r="J49" s="42">
        <v>5.4</v>
      </c>
      <c r="K49" s="42">
        <f>1543/273</f>
        <v>5.7</v>
      </c>
      <c r="L49" s="42">
        <v>5.2</v>
      </c>
      <c r="M49" s="63">
        <v>5.1</v>
      </c>
      <c r="N49" s="63">
        <v>5.5</v>
      </c>
      <c r="O49" s="41">
        <f>O48/172</f>
        <v>5.4</v>
      </c>
      <c r="P49" s="41">
        <v>5.9</v>
      </c>
      <c r="Q49" s="41">
        <f>Q48/172</f>
        <v>5.4</v>
      </c>
      <c r="R49" s="41">
        <f>R48/172</f>
        <v>5.4</v>
      </c>
      <c r="S49" s="41">
        <f>S48/172</f>
        <v>5.4</v>
      </c>
      <c r="T49" s="41">
        <f>T48/172</f>
        <v>5.4</v>
      </c>
      <c r="U49" s="42">
        <f t="shared" si="14"/>
        <v>48.4</v>
      </c>
      <c r="V49" s="90">
        <v>2024</v>
      </c>
      <c r="W49" s="4">
        <f t="shared" si="2"/>
        <v>-0.1</v>
      </c>
      <c r="X49" s="4">
        <f t="shared" si="3"/>
        <v>-0.5</v>
      </c>
    </row>
    <row r="50" spans="1:26" s="7" customFormat="1" ht="127.5">
      <c r="A50" s="167" t="s">
        <v>254</v>
      </c>
      <c r="B50" s="37">
        <v>1</v>
      </c>
      <c r="C50" s="37">
        <v>1</v>
      </c>
      <c r="D50" s="37">
        <v>1</v>
      </c>
      <c r="E50" s="37">
        <v>0</v>
      </c>
      <c r="F50" s="37">
        <v>5</v>
      </c>
      <c r="G50" s="37"/>
      <c r="H50" s="168" t="s">
        <v>378</v>
      </c>
      <c r="I50" s="37" t="s">
        <v>255</v>
      </c>
      <c r="J50" s="45">
        <f>J51</f>
        <v>3594.2</v>
      </c>
      <c r="K50" s="45">
        <f>K51</f>
        <v>3700.5</v>
      </c>
      <c r="L50" s="45">
        <f>L51</f>
        <v>3700.5</v>
      </c>
      <c r="M50" s="45">
        <f aca="true" t="shared" si="17" ref="M50:T50">M51</f>
        <v>4723.5</v>
      </c>
      <c r="N50" s="45">
        <f t="shared" si="17"/>
        <v>4162.2</v>
      </c>
      <c r="O50" s="45">
        <f t="shared" si="17"/>
        <v>4697.3</v>
      </c>
      <c r="P50" s="45">
        <f t="shared" si="17"/>
        <v>4162.2</v>
      </c>
      <c r="Q50" s="45">
        <f t="shared" si="17"/>
        <v>4697.3</v>
      </c>
      <c r="R50" s="45">
        <f t="shared" si="17"/>
        <v>4697.3</v>
      </c>
      <c r="S50" s="45">
        <f t="shared" si="17"/>
        <v>4697.3</v>
      </c>
      <c r="T50" s="45">
        <f t="shared" si="17"/>
        <v>4697.3</v>
      </c>
      <c r="U50" s="45">
        <f t="shared" si="14"/>
        <v>39205.2</v>
      </c>
      <c r="V50" s="37">
        <v>2024</v>
      </c>
      <c r="W50" s="4">
        <f t="shared" si="2"/>
        <v>535.1</v>
      </c>
      <c r="X50" s="4">
        <f t="shared" si="3"/>
        <v>535.1</v>
      </c>
      <c r="Y50" s="4"/>
      <c r="Z50" s="3"/>
    </row>
    <row r="51" spans="1:26" s="7" customFormat="1" ht="12.75">
      <c r="A51" s="33" t="s">
        <v>254</v>
      </c>
      <c r="B51" s="34">
        <v>1</v>
      </c>
      <c r="C51" s="34">
        <v>1</v>
      </c>
      <c r="D51" s="34">
        <v>1</v>
      </c>
      <c r="E51" s="34">
        <v>0</v>
      </c>
      <c r="F51" s="34">
        <v>5</v>
      </c>
      <c r="G51" s="34">
        <v>3</v>
      </c>
      <c r="H51" s="51" t="s">
        <v>256</v>
      </c>
      <c r="I51" s="88" t="s">
        <v>255</v>
      </c>
      <c r="J51" s="53">
        <v>3594.2</v>
      </c>
      <c r="K51" s="53">
        <f>3700.5</f>
        <v>3700.5</v>
      </c>
      <c r="L51" s="53">
        <v>3700.5</v>
      </c>
      <c r="M51" s="65">
        <v>4723.5</v>
      </c>
      <c r="N51" s="65">
        <v>4162.2</v>
      </c>
      <c r="O51" s="67">
        <v>4697.3</v>
      </c>
      <c r="P51" s="67">
        <v>4162.2</v>
      </c>
      <c r="Q51" s="67">
        <v>4697.3</v>
      </c>
      <c r="R51" s="65">
        <v>4697.3</v>
      </c>
      <c r="S51" s="65">
        <v>4697.3</v>
      </c>
      <c r="T51" s="65">
        <v>4697.3</v>
      </c>
      <c r="U51" s="53">
        <f t="shared" si="14"/>
        <v>39205.2</v>
      </c>
      <c r="V51" s="88">
        <v>2024</v>
      </c>
      <c r="W51" s="4">
        <f t="shared" si="2"/>
        <v>535.1</v>
      </c>
      <c r="X51" s="4">
        <f t="shared" si="3"/>
        <v>535.1</v>
      </c>
      <c r="Y51" s="4"/>
      <c r="Z51" s="3"/>
    </row>
    <row r="52" spans="1:24" ht="63.75">
      <c r="A52" s="33" t="s">
        <v>254</v>
      </c>
      <c r="B52" s="34">
        <v>1</v>
      </c>
      <c r="C52" s="34">
        <v>1</v>
      </c>
      <c r="D52" s="34">
        <v>1</v>
      </c>
      <c r="E52" s="34">
        <v>0</v>
      </c>
      <c r="F52" s="34">
        <v>5</v>
      </c>
      <c r="G52" s="136"/>
      <c r="H52" s="54" t="s">
        <v>284</v>
      </c>
      <c r="I52" s="90" t="s">
        <v>283</v>
      </c>
      <c r="J52" s="101">
        <v>174</v>
      </c>
      <c r="K52" s="101">
        <v>195</v>
      </c>
      <c r="L52" s="101">
        <v>184</v>
      </c>
      <c r="M52" s="102">
        <v>186</v>
      </c>
      <c r="N52" s="102">
        <v>203</v>
      </c>
      <c r="O52" s="103">
        <v>196</v>
      </c>
      <c r="P52" s="103">
        <v>203</v>
      </c>
      <c r="Q52" s="103">
        <v>196</v>
      </c>
      <c r="R52" s="103">
        <v>196</v>
      </c>
      <c r="S52" s="103">
        <v>196</v>
      </c>
      <c r="T52" s="103">
        <v>196</v>
      </c>
      <c r="U52" s="48">
        <f>SUM(J52:T52)/9</f>
        <v>236</v>
      </c>
      <c r="V52" s="90">
        <v>2024</v>
      </c>
      <c r="W52" s="4">
        <f t="shared" si="2"/>
        <v>-7</v>
      </c>
      <c r="X52" s="4">
        <f t="shared" si="3"/>
        <v>-7</v>
      </c>
    </row>
    <row r="53" spans="1:26" s="7" customFormat="1" ht="76.5">
      <c r="A53" s="167" t="s">
        <v>254</v>
      </c>
      <c r="B53" s="37">
        <v>1</v>
      </c>
      <c r="C53" s="37">
        <v>1</v>
      </c>
      <c r="D53" s="37">
        <v>1</v>
      </c>
      <c r="E53" s="37">
        <v>0</v>
      </c>
      <c r="F53" s="37">
        <v>6</v>
      </c>
      <c r="G53" s="37"/>
      <c r="H53" s="49" t="s">
        <v>379</v>
      </c>
      <c r="I53" s="37" t="s">
        <v>255</v>
      </c>
      <c r="J53" s="45">
        <f>J54+J55</f>
        <v>7817.1</v>
      </c>
      <c r="K53" s="45">
        <f>K54+K55</f>
        <v>2082.4</v>
      </c>
      <c r="L53" s="45">
        <f>L54+L55</f>
        <v>2249.8</v>
      </c>
      <c r="M53" s="50">
        <f>M54+M55</f>
        <v>13297.2</v>
      </c>
      <c r="N53" s="50">
        <f>N54+N55</f>
        <v>4976.1</v>
      </c>
      <c r="O53" s="50">
        <f>O54</f>
        <v>6750.8</v>
      </c>
      <c r="P53" s="50">
        <f>P54</f>
        <v>4976.1</v>
      </c>
      <c r="Q53" s="50">
        <f>Q54</f>
        <v>6750.8</v>
      </c>
      <c r="R53" s="50">
        <f>R54</f>
        <v>6750.8</v>
      </c>
      <c r="S53" s="50">
        <f>S54+S55</f>
        <v>6750.8</v>
      </c>
      <c r="T53" s="50">
        <f>T54+T55</f>
        <v>6750.8</v>
      </c>
      <c r="U53" s="45">
        <f>J53+K53+L53+M53+O53+Q53+R53+S53+T53</f>
        <v>59200.5</v>
      </c>
      <c r="V53" s="37">
        <v>2024</v>
      </c>
      <c r="W53" s="4">
        <f t="shared" si="2"/>
        <v>1774.7</v>
      </c>
      <c r="X53" s="4">
        <f t="shared" si="3"/>
        <v>1774.7</v>
      </c>
      <c r="Y53" s="4"/>
      <c r="Z53" s="3"/>
    </row>
    <row r="54" spans="1:26" s="7" customFormat="1" ht="12.75">
      <c r="A54" s="33" t="s">
        <v>254</v>
      </c>
      <c r="B54" s="34">
        <v>1</v>
      </c>
      <c r="C54" s="34">
        <v>1</v>
      </c>
      <c r="D54" s="34">
        <v>1</v>
      </c>
      <c r="E54" s="34">
        <v>0</v>
      </c>
      <c r="F54" s="34">
        <v>6</v>
      </c>
      <c r="G54" s="34">
        <v>3</v>
      </c>
      <c r="H54" s="51" t="s">
        <v>256</v>
      </c>
      <c r="I54" s="34" t="s">
        <v>255</v>
      </c>
      <c r="J54" s="53">
        <v>7466.6</v>
      </c>
      <c r="K54" s="53">
        <v>1734.6</v>
      </c>
      <c r="L54" s="53">
        <v>2249.8</v>
      </c>
      <c r="M54" s="65">
        <v>8059.5</v>
      </c>
      <c r="N54" s="65">
        <v>4976.1</v>
      </c>
      <c r="O54" s="67">
        <v>6750.8</v>
      </c>
      <c r="P54" s="67">
        <v>4976.1</v>
      </c>
      <c r="Q54" s="67">
        <v>6750.8</v>
      </c>
      <c r="R54" s="65">
        <v>6750.8</v>
      </c>
      <c r="S54" s="65">
        <v>6750.8</v>
      </c>
      <c r="T54" s="65">
        <v>6750.8</v>
      </c>
      <c r="U54" s="53">
        <f>J54+K54+L54+M54+O54+Q54+R54+S54+T54</f>
        <v>53264.5</v>
      </c>
      <c r="V54" s="88">
        <v>2024</v>
      </c>
      <c r="W54" s="4">
        <f t="shared" si="2"/>
        <v>1774.7</v>
      </c>
      <c r="X54" s="4">
        <f t="shared" si="3"/>
        <v>1774.7</v>
      </c>
      <c r="Y54" s="4"/>
      <c r="Z54" s="3"/>
    </row>
    <row r="55" spans="1:26" s="7" customFormat="1" ht="12.75">
      <c r="A55" s="33" t="s">
        <v>254</v>
      </c>
      <c r="B55" s="34">
        <v>1</v>
      </c>
      <c r="C55" s="34">
        <v>1</v>
      </c>
      <c r="D55" s="34">
        <v>1</v>
      </c>
      <c r="E55" s="34">
        <v>0</v>
      </c>
      <c r="F55" s="34">
        <v>6</v>
      </c>
      <c r="G55" s="34">
        <v>2</v>
      </c>
      <c r="H55" s="51" t="s">
        <v>257</v>
      </c>
      <c r="I55" s="34" t="s">
        <v>255</v>
      </c>
      <c r="J55" s="53">
        <v>350.5</v>
      </c>
      <c r="K55" s="53">
        <v>347.8</v>
      </c>
      <c r="L55" s="53">
        <v>0</v>
      </c>
      <c r="M55" s="65">
        <v>5237.7</v>
      </c>
      <c r="N55" s="65">
        <v>0</v>
      </c>
      <c r="O55" s="67">
        <v>0</v>
      </c>
      <c r="P55" s="67">
        <v>0</v>
      </c>
      <c r="Q55" s="67">
        <v>0</v>
      </c>
      <c r="R55" s="65">
        <v>0</v>
      </c>
      <c r="S55" s="65">
        <v>0</v>
      </c>
      <c r="T55" s="65">
        <v>0</v>
      </c>
      <c r="U55" s="53">
        <f>J55+K55+L55+M55+O55+Q55+R55+S55+T55</f>
        <v>5936</v>
      </c>
      <c r="V55" s="88">
        <v>2017</v>
      </c>
      <c r="W55" s="4">
        <f t="shared" si="2"/>
        <v>0</v>
      </c>
      <c r="X55" s="4">
        <f t="shared" si="3"/>
        <v>0</v>
      </c>
      <c r="Y55" s="4"/>
      <c r="Z55" s="3"/>
    </row>
    <row r="56" spans="1:24" ht="63.75">
      <c r="A56" s="33" t="s">
        <v>254</v>
      </c>
      <c r="B56" s="34">
        <v>1</v>
      </c>
      <c r="C56" s="34">
        <v>1</v>
      </c>
      <c r="D56" s="34">
        <v>1</v>
      </c>
      <c r="E56" s="34">
        <v>0</v>
      </c>
      <c r="F56" s="34">
        <v>6</v>
      </c>
      <c r="G56" s="34"/>
      <c r="H56" s="54" t="s">
        <v>72</v>
      </c>
      <c r="I56" s="35" t="s">
        <v>51</v>
      </c>
      <c r="J56" s="48">
        <v>2</v>
      </c>
      <c r="K56" s="48">
        <v>4</v>
      </c>
      <c r="L56" s="48">
        <v>3</v>
      </c>
      <c r="M56" s="97">
        <v>12</v>
      </c>
      <c r="N56" s="97">
        <v>2</v>
      </c>
      <c r="O56" s="98">
        <v>5</v>
      </c>
      <c r="P56" s="98">
        <v>5</v>
      </c>
      <c r="Q56" s="70">
        <v>5</v>
      </c>
      <c r="R56" s="97">
        <v>5</v>
      </c>
      <c r="S56" s="97">
        <v>5</v>
      </c>
      <c r="T56" s="97">
        <v>5</v>
      </c>
      <c r="U56" s="48">
        <v>5</v>
      </c>
      <c r="V56" s="90">
        <v>2024</v>
      </c>
      <c r="W56" s="4">
        <f t="shared" si="2"/>
        <v>3</v>
      </c>
      <c r="X56" s="4">
        <f t="shared" si="3"/>
        <v>0</v>
      </c>
    </row>
    <row r="57" spans="1:24" ht="76.5">
      <c r="A57" s="33" t="s">
        <v>254</v>
      </c>
      <c r="B57" s="34">
        <v>1</v>
      </c>
      <c r="C57" s="34">
        <v>1</v>
      </c>
      <c r="D57" s="34">
        <v>1</v>
      </c>
      <c r="E57" s="34">
        <v>0</v>
      </c>
      <c r="F57" s="34">
        <v>6</v>
      </c>
      <c r="G57" s="34"/>
      <c r="H57" s="54" t="s">
        <v>230</v>
      </c>
      <c r="I57" s="35" t="s">
        <v>51</v>
      </c>
      <c r="J57" s="48">
        <v>5</v>
      </c>
      <c r="K57" s="48">
        <v>2</v>
      </c>
      <c r="L57" s="48">
        <v>0</v>
      </c>
      <c r="M57" s="97">
        <v>5</v>
      </c>
      <c r="N57" s="97">
        <v>5</v>
      </c>
      <c r="O57" s="70">
        <v>5</v>
      </c>
      <c r="P57" s="70">
        <v>5</v>
      </c>
      <c r="Q57" s="70">
        <v>5</v>
      </c>
      <c r="R57" s="97">
        <v>5</v>
      </c>
      <c r="S57" s="97">
        <v>5</v>
      </c>
      <c r="T57" s="97">
        <v>5</v>
      </c>
      <c r="U57" s="48">
        <v>5</v>
      </c>
      <c r="V57" s="90">
        <v>2024</v>
      </c>
      <c r="W57" s="4">
        <f t="shared" si="2"/>
        <v>0</v>
      </c>
      <c r="X57" s="4">
        <f t="shared" si="3"/>
        <v>0</v>
      </c>
    </row>
    <row r="58" spans="1:24" ht="51">
      <c r="A58" s="33" t="s">
        <v>254</v>
      </c>
      <c r="B58" s="34">
        <v>1</v>
      </c>
      <c r="C58" s="34">
        <v>1</v>
      </c>
      <c r="D58" s="34">
        <v>1</v>
      </c>
      <c r="E58" s="34">
        <v>0</v>
      </c>
      <c r="F58" s="34">
        <v>6</v>
      </c>
      <c r="G58" s="34"/>
      <c r="H58" s="54" t="s">
        <v>71</v>
      </c>
      <c r="I58" s="35" t="s">
        <v>51</v>
      </c>
      <c r="J58" s="48">
        <v>8</v>
      </c>
      <c r="K58" s="48">
        <v>2</v>
      </c>
      <c r="L58" s="48">
        <v>29</v>
      </c>
      <c r="M58" s="97">
        <v>29</v>
      </c>
      <c r="N58" s="97">
        <v>29</v>
      </c>
      <c r="O58" s="98">
        <v>29</v>
      </c>
      <c r="P58" s="98">
        <v>29</v>
      </c>
      <c r="Q58" s="98">
        <v>29</v>
      </c>
      <c r="R58" s="98">
        <v>29</v>
      </c>
      <c r="S58" s="98">
        <v>29</v>
      </c>
      <c r="T58" s="98">
        <v>29</v>
      </c>
      <c r="U58" s="48">
        <v>29</v>
      </c>
      <c r="V58" s="90">
        <v>2024</v>
      </c>
      <c r="W58" s="4">
        <f t="shared" si="2"/>
        <v>0</v>
      </c>
      <c r="X58" s="4">
        <f t="shared" si="3"/>
        <v>0</v>
      </c>
    </row>
    <row r="59" spans="1:24" ht="76.5">
      <c r="A59" s="33" t="s">
        <v>254</v>
      </c>
      <c r="B59" s="34">
        <v>1</v>
      </c>
      <c r="C59" s="34">
        <v>1</v>
      </c>
      <c r="D59" s="34">
        <v>1</v>
      </c>
      <c r="E59" s="34">
        <v>0</v>
      </c>
      <c r="F59" s="34">
        <v>6</v>
      </c>
      <c r="G59" s="35"/>
      <c r="H59" s="54" t="s">
        <v>83</v>
      </c>
      <c r="I59" s="35" t="s">
        <v>294</v>
      </c>
      <c r="J59" s="101">
        <v>28</v>
      </c>
      <c r="K59" s="101">
        <v>8</v>
      </c>
      <c r="L59" s="101">
        <v>0</v>
      </c>
      <c r="M59" s="102">
        <v>0</v>
      </c>
      <c r="N59" s="102">
        <v>0</v>
      </c>
      <c r="O59" s="103">
        <v>0</v>
      </c>
      <c r="P59" s="103">
        <v>0</v>
      </c>
      <c r="Q59" s="103">
        <v>0</v>
      </c>
      <c r="R59" s="102">
        <v>0</v>
      </c>
      <c r="S59" s="102">
        <v>0</v>
      </c>
      <c r="T59" s="102">
        <v>0</v>
      </c>
      <c r="U59" s="101">
        <v>28</v>
      </c>
      <c r="V59" s="101">
        <v>2017</v>
      </c>
      <c r="W59" s="4">
        <f t="shared" si="2"/>
        <v>0</v>
      </c>
      <c r="X59" s="4">
        <f t="shared" si="3"/>
        <v>0</v>
      </c>
    </row>
    <row r="60" spans="1:26" s="7" customFormat="1" ht="76.5">
      <c r="A60" s="36" t="s">
        <v>254</v>
      </c>
      <c r="B60" s="37">
        <v>1</v>
      </c>
      <c r="C60" s="37">
        <v>1</v>
      </c>
      <c r="D60" s="37">
        <v>1</v>
      </c>
      <c r="E60" s="37">
        <v>0</v>
      </c>
      <c r="F60" s="37">
        <v>7</v>
      </c>
      <c r="G60" s="37"/>
      <c r="H60" s="49" t="s">
        <v>380</v>
      </c>
      <c r="I60" s="37" t="s">
        <v>255</v>
      </c>
      <c r="J60" s="45">
        <f aca="true" t="shared" si="18" ref="J60:T60">J61</f>
        <v>25</v>
      </c>
      <c r="K60" s="45">
        <f t="shared" si="18"/>
        <v>25</v>
      </c>
      <c r="L60" s="45">
        <f t="shared" si="18"/>
        <v>25</v>
      </c>
      <c r="M60" s="50">
        <f t="shared" si="18"/>
        <v>25</v>
      </c>
      <c r="N60" s="50">
        <f t="shared" si="18"/>
        <v>25</v>
      </c>
      <c r="O60" s="50">
        <f t="shared" si="18"/>
        <v>25</v>
      </c>
      <c r="P60" s="50">
        <f t="shared" si="18"/>
        <v>27.4</v>
      </c>
      <c r="Q60" s="50">
        <f t="shared" si="18"/>
        <v>25</v>
      </c>
      <c r="R60" s="50">
        <f t="shared" si="18"/>
        <v>25</v>
      </c>
      <c r="S60" s="50">
        <f t="shared" si="18"/>
        <v>25</v>
      </c>
      <c r="T60" s="50">
        <f t="shared" si="18"/>
        <v>25</v>
      </c>
      <c r="U60" s="45">
        <f>J60+K60+L60+M60+O60+Q60+R60+S60+T60</f>
        <v>225</v>
      </c>
      <c r="V60" s="37">
        <v>2024</v>
      </c>
      <c r="W60" s="4">
        <f t="shared" si="2"/>
        <v>0</v>
      </c>
      <c r="X60" s="4">
        <f t="shared" si="3"/>
        <v>-2.4</v>
      </c>
      <c r="Y60" s="4"/>
      <c r="Z60" s="3"/>
    </row>
    <row r="61" spans="1:26" s="7" customFormat="1" ht="12.75">
      <c r="A61" s="33" t="s">
        <v>254</v>
      </c>
      <c r="B61" s="34">
        <v>1</v>
      </c>
      <c r="C61" s="34">
        <v>1</v>
      </c>
      <c r="D61" s="34">
        <v>1</v>
      </c>
      <c r="E61" s="34">
        <v>0</v>
      </c>
      <c r="F61" s="34">
        <v>7</v>
      </c>
      <c r="G61" s="34">
        <v>3</v>
      </c>
      <c r="H61" s="51" t="s">
        <v>256</v>
      </c>
      <c r="I61" s="34" t="s">
        <v>255</v>
      </c>
      <c r="J61" s="53">
        <v>25</v>
      </c>
      <c r="K61" s="53">
        <v>25</v>
      </c>
      <c r="L61" s="53">
        <v>25</v>
      </c>
      <c r="M61" s="65">
        <v>25</v>
      </c>
      <c r="N61" s="65">
        <v>25</v>
      </c>
      <c r="O61" s="67">
        <v>25</v>
      </c>
      <c r="P61" s="67">
        <v>27.4</v>
      </c>
      <c r="Q61" s="67">
        <v>25</v>
      </c>
      <c r="R61" s="65">
        <v>25</v>
      </c>
      <c r="S61" s="65">
        <v>25</v>
      </c>
      <c r="T61" s="65">
        <v>25</v>
      </c>
      <c r="U61" s="52">
        <f>J61+K61+L61+M61+O61+Q61+R61+S61+T61</f>
        <v>225</v>
      </c>
      <c r="V61" s="88">
        <v>2024</v>
      </c>
      <c r="W61" s="4">
        <f t="shared" si="2"/>
        <v>0</v>
      </c>
      <c r="X61" s="4">
        <f t="shared" si="3"/>
        <v>-2.4</v>
      </c>
      <c r="Y61" s="4"/>
      <c r="Z61" s="3"/>
    </row>
    <row r="62" spans="1:24" ht="76.5">
      <c r="A62" s="33" t="s">
        <v>254</v>
      </c>
      <c r="B62" s="34">
        <v>1</v>
      </c>
      <c r="C62" s="34">
        <v>1</v>
      </c>
      <c r="D62" s="34">
        <v>1</v>
      </c>
      <c r="E62" s="34">
        <v>0</v>
      </c>
      <c r="F62" s="34">
        <v>7</v>
      </c>
      <c r="G62" s="35"/>
      <c r="H62" s="54" t="s">
        <v>286</v>
      </c>
      <c r="I62" s="35" t="s">
        <v>260</v>
      </c>
      <c r="J62" s="42">
        <v>7</v>
      </c>
      <c r="K62" s="42">
        <v>3</v>
      </c>
      <c r="L62" s="42">
        <v>3</v>
      </c>
      <c r="M62" s="63">
        <v>3.5</v>
      </c>
      <c r="N62" s="63">
        <v>3</v>
      </c>
      <c r="O62" s="41">
        <v>3</v>
      </c>
      <c r="P62" s="41">
        <v>3</v>
      </c>
      <c r="Q62" s="41">
        <v>3</v>
      </c>
      <c r="R62" s="63">
        <v>3</v>
      </c>
      <c r="S62" s="63">
        <v>3</v>
      </c>
      <c r="T62" s="63">
        <v>3</v>
      </c>
      <c r="U62" s="42">
        <v>3</v>
      </c>
      <c r="V62" s="90">
        <v>2024</v>
      </c>
      <c r="W62" s="4">
        <f t="shared" si="2"/>
        <v>0</v>
      </c>
      <c r="X62" s="4">
        <f t="shared" si="3"/>
        <v>0</v>
      </c>
    </row>
    <row r="63" spans="1:24" ht="76.5">
      <c r="A63" s="33" t="s">
        <v>254</v>
      </c>
      <c r="B63" s="34">
        <v>1</v>
      </c>
      <c r="C63" s="34">
        <v>1</v>
      </c>
      <c r="D63" s="34">
        <v>1</v>
      </c>
      <c r="E63" s="34">
        <v>0</v>
      </c>
      <c r="F63" s="34">
        <v>7</v>
      </c>
      <c r="G63" s="35"/>
      <c r="H63" s="54" t="s">
        <v>76</v>
      </c>
      <c r="I63" s="35" t="s">
        <v>294</v>
      </c>
      <c r="J63" s="104">
        <v>0</v>
      </c>
      <c r="K63" s="104">
        <v>0</v>
      </c>
      <c r="L63" s="104">
        <v>3</v>
      </c>
      <c r="M63" s="105">
        <v>8</v>
      </c>
      <c r="N63" s="105">
        <v>2</v>
      </c>
      <c r="O63" s="74">
        <v>2</v>
      </c>
      <c r="P63" s="74">
        <v>3</v>
      </c>
      <c r="Q63" s="74">
        <v>3</v>
      </c>
      <c r="R63" s="105">
        <v>3</v>
      </c>
      <c r="S63" s="105">
        <v>3</v>
      </c>
      <c r="T63" s="105">
        <v>3</v>
      </c>
      <c r="U63" s="104">
        <f>J63+K63+L63+M63+O63+Q63+R63+S63+T63</f>
        <v>25</v>
      </c>
      <c r="V63" s="90">
        <v>2024</v>
      </c>
      <c r="W63" s="4">
        <f t="shared" si="2"/>
        <v>0</v>
      </c>
      <c r="X63" s="4">
        <f t="shared" si="3"/>
        <v>0</v>
      </c>
    </row>
    <row r="64" spans="1:26" s="7" customFormat="1" ht="25.5">
      <c r="A64" s="164" t="s">
        <v>254</v>
      </c>
      <c r="B64" s="32">
        <v>1</v>
      </c>
      <c r="C64" s="32">
        <v>1</v>
      </c>
      <c r="D64" s="32">
        <v>2</v>
      </c>
      <c r="E64" s="32">
        <v>0</v>
      </c>
      <c r="F64" s="32">
        <v>0</v>
      </c>
      <c r="G64" s="32"/>
      <c r="H64" s="30" t="s">
        <v>287</v>
      </c>
      <c r="I64" s="32" t="s">
        <v>255</v>
      </c>
      <c r="J64" s="68">
        <f aca="true" t="shared" si="19" ref="J64:T64">J65+J66</f>
        <v>1267029.1</v>
      </c>
      <c r="K64" s="68">
        <f t="shared" si="19"/>
        <v>1278139.6</v>
      </c>
      <c r="L64" s="68">
        <f t="shared" si="19"/>
        <v>1436722.5</v>
      </c>
      <c r="M64" s="64">
        <f t="shared" si="19"/>
        <v>1585187.6</v>
      </c>
      <c r="N64" s="64">
        <f>N65+N66</f>
        <v>1605776.6</v>
      </c>
      <c r="O64" s="64">
        <f t="shared" si="19"/>
        <v>1640141</v>
      </c>
      <c r="P64" s="64">
        <f>P65+P66</f>
        <v>1700430</v>
      </c>
      <c r="Q64" s="64">
        <f t="shared" si="19"/>
        <v>1742593.9</v>
      </c>
      <c r="R64" s="64">
        <f t="shared" si="19"/>
        <v>1749673</v>
      </c>
      <c r="S64" s="64">
        <f t="shared" si="19"/>
        <v>1749750.6</v>
      </c>
      <c r="T64" s="64">
        <f t="shared" si="19"/>
        <v>1749750.6</v>
      </c>
      <c r="U64" s="68">
        <f>J64+K64+L64+M64+O64+Q64+R64+S64+T64</f>
        <v>14198987.9</v>
      </c>
      <c r="V64" s="32">
        <v>2024</v>
      </c>
      <c r="W64" s="4">
        <f t="shared" si="2"/>
        <v>34364.4</v>
      </c>
      <c r="X64" s="4">
        <f t="shared" si="3"/>
        <v>42163.9</v>
      </c>
      <c r="Y64" s="4"/>
      <c r="Z64" s="3"/>
    </row>
    <row r="65" spans="1:26" s="7" customFormat="1" ht="12.75">
      <c r="A65" s="169" t="s">
        <v>254</v>
      </c>
      <c r="B65" s="34">
        <v>1</v>
      </c>
      <c r="C65" s="34">
        <v>1</v>
      </c>
      <c r="D65" s="34">
        <v>2</v>
      </c>
      <c r="E65" s="34">
        <v>0</v>
      </c>
      <c r="F65" s="34">
        <v>0</v>
      </c>
      <c r="G65" s="34">
        <v>3</v>
      </c>
      <c r="H65" s="51" t="s">
        <v>256</v>
      </c>
      <c r="I65" s="34" t="s">
        <v>255</v>
      </c>
      <c r="J65" s="53">
        <v>298339.8</v>
      </c>
      <c r="K65" s="53">
        <f aca="true" t="shared" si="20" ref="K65:T65">K73+K82+K87</f>
        <v>300286.1</v>
      </c>
      <c r="L65" s="53">
        <f t="shared" si="20"/>
        <v>330533.9</v>
      </c>
      <c r="M65" s="65">
        <f t="shared" si="20"/>
        <v>401689.9</v>
      </c>
      <c r="N65" s="65">
        <f>N73+N82+N87</f>
        <v>365274.3</v>
      </c>
      <c r="O65" s="65">
        <f t="shared" si="20"/>
        <v>399638.7</v>
      </c>
      <c r="P65" s="65">
        <f>P73+P82+P87</f>
        <v>356920.2</v>
      </c>
      <c r="Q65" s="65">
        <f t="shared" si="20"/>
        <v>399084.1</v>
      </c>
      <c r="R65" s="65">
        <f t="shared" si="20"/>
        <v>406163.2</v>
      </c>
      <c r="S65" s="65">
        <f t="shared" si="20"/>
        <v>406240.8</v>
      </c>
      <c r="T65" s="65">
        <f t="shared" si="20"/>
        <v>406240.8</v>
      </c>
      <c r="U65" s="53">
        <f>J65+K65+L65+M65+O65+Q65+R65+S65+T65</f>
        <v>3348217.3</v>
      </c>
      <c r="V65" s="88">
        <v>2024</v>
      </c>
      <c r="W65" s="4">
        <f t="shared" si="2"/>
        <v>34364.4</v>
      </c>
      <c r="X65" s="4">
        <f t="shared" si="3"/>
        <v>42163.9</v>
      </c>
      <c r="Y65" s="4"/>
      <c r="Z65" s="3"/>
    </row>
    <row r="66" spans="1:26" s="7" customFormat="1" ht="12.75">
      <c r="A66" s="169" t="s">
        <v>254</v>
      </c>
      <c r="B66" s="34">
        <v>1</v>
      </c>
      <c r="C66" s="34">
        <v>1</v>
      </c>
      <c r="D66" s="34">
        <v>2</v>
      </c>
      <c r="E66" s="34">
        <v>0</v>
      </c>
      <c r="F66" s="34">
        <v>0</v>
      </c>
      <c r="G66" s="34">
        <v>2</v>
      </c>
      <c r="H66" s="51" t="s">
        <v>257</v>
      </c>
      <c r="I66" s="34" t="s">
        <v>255</v>
      </c>
      <c r="J66" s="53">
        <f>J74</f>
        <v>968689.3</v>
      </c>
      <c r="K66" s="53">
        <f>K74</f>
        <v>977853.5</v>
      </c>
      <c r="L66" s="53">
        <f aca="true" t="shared" si="21" ref="L66:T66">L74+L88</f>
        <v>1106188.6</v>
      </c>
      <c r="M66" s="65">
        <f t="shared" si="21"/>
        <v>1183497.7</v>
      </c>
      <c r="N66" s="65">
        <f>N74+N88</f>
        <v>1240502.3</v>
      </c>
      <c r="O66" s="65">
        <f t="shared" si="21"/>
        <v>1240502.3</v>
      </c>
      <c r="P66" s="65">
        <f>P74+P88</f>
        <v>1343509.8</v>
      </c>
      <c r="Q66" s="65">
        <f t="shared" si="21"/>
        <v>1343509.8</v>
      </c>
      <c r="R66" s="65">
        <f t="shared" si="21"/>
        <v>1343509.8</v>
      </c>
      <c r="S66" s="65">
        <f t="shared" si="21"/>
        <v>1343509.8</v>
      </c>
      <c r="T66" s="65">
        <f t="shared" si="21"/>
        <v>1343509.8</v>
      </c>
      <c r="U66" s="53">
        <f>J66+K66+L66+M66+O66+Q66+R66+S66+T66</f>
        <v>10850770.6</v>
      </c>
      <c r="V66" s="88">
        <v>2024</v>
      </c>
      <c r="W66" s="4">
        <f t="shared" si="2"/>
        <v>0</v>
      </c>
      <c r="X66" s="4">
        <f t="shared" si="3"/>
        <v>0</v>
      </c>
      <c r="Y66" s="4"/>
      <c r="Z66" s="3"/>
    </row>
    <row r="67" spans="1:24" ht="102">
      <c r="A67" s="33" t="s">
        <v>254</v>
      </c>
      <c r="B67" s="34">
        <v>1</v>
      </c>
      <c r="C67" s="34">
        <v>1</v>
      </c>
      <c r="D67" s="34">
        <v>2</v>
      </c>
      <c r="E67" s="34">
        <v>0</v>
      </c>
      <c r="F67" s="34">
        <v>0</v>
      </c>
      <c r="G67" s="35"/>
      <c r="H67" s="39" t="s">
        <v>138</v>
      </c>
      <c r="I67" s="35" t="s">
        <v>260</v>
      </c>
      <c r="J67" s="42">
        <v>98.6</v>
      </c>
      <c r="K67" s="42">
        <v>99.6</v>
      </c>
      <c r="L67" s="42">
        <v>100</v>
      </c>
      <c r="M67" s="41">
        <v>100</v>
      </c>
      <c r="N67" s="41">
        <v>99.7</v>
      </c>
      <c r="O67" s="41">
        <v>99.7</v>
      </c>
      <c r="P67" s="41">
        <v>99.8</v>
      </c>
      <c r="Q67" s="41">
        <v>99.8</v>
      </c>
      <c r="R67" s="41">
        <v>99.8</v>
      </c>
      <c r="S67" s="41">
        <v>99.9</v>
      </c>
      <c r="T67" s="41">
        <v>100</v>
      </c>
      <c r="U67" s="40">
        <v>100</v>
      </c>
      <c r="V67" s="90">
        <v>2024</v>
      </c>
      <c r="W67" s="4">
        <f t="shared" si="2"/>
        <v>0</v>
      </c>
      <c r="X67" s="4">
        <f t="shared" si="3"/>
        <v>0</v>
      </c>
    </row>
    <row r="68" spans="1:24" ht="102">
      <c r="A68" s="33" t="s">
        <v>254</v>
      </c>
      <c r="B68" s="34">
        <v>1</v>
      </c>
      <c r="C68" s="34">
        <v>1</v>
      </c>
      <c r="D68" s="34">
        <v>2</v>
      </c>
      <c r="E68" s="34">
        <v>0</v>
      </c>
      <c r="F68" s="34">
        <v>0</v>
      </c>
      <c r="G68" s="35"/>
      <c r="H68" s="39" t="s">
        <v>139</v>
      </c>
      <c r="I68" s="35" t="s">
        <v>260</v>
      </c>
      <c r="J68" s="42">
        <v>93.6</v>
      </c>
      <c r="K68" s="42">
        <v>95.2</v>
      </c>
      <c r="L68" s="42">
        <v>99.1</v>
      </c>
      <c r="M68" s="63">
        <v>99.9</v>
      </c>
      <c r="N68" s="63">
        <v>99.4</v>
      </c>
      <c r="O68" s="41">
        <v>99.4</v>
      </c>
      <c r="P68" s="41">
        <v>99.6</v>
      </c>
      <c r="Q68" s="41">
        <v>99.6</v>
      </c>
      <c r="R68" s="63">
        <v>99.6</v>
      </c>
      <c r="S68" s="63">
        <v>99.6</v>
      </c>
      <c r="T68" s="63">
        <v>99.7</v>
      </c>
      <c r="U68" s="42">
        <v>99.7</v>
      </c>
      <c r="V68" s="90">
        <v>2024</v>
      </c>
      <c r="W68" s="4">
        <f t="shared" si="2"/>
        <v>0</v>
      </c>
      <c r="X68" s="4">
        <f t="shared" si="3"/>
        <v>0</v>
      </c>
    </row>
    <row r="69" spans="1:24" ht="76.5">
      <c r="A69" s="33" t="s">
        <v>254</v>
      </c>
      <c r="B69" s="34">
        <v>1</v>
      </c>
      <c r="C69" s="34">
        <v>1</v>
      </c>
      <c r="D69" s="34">
        <v>2</v>
      </c>
      <c r="E69" s="34">
        <v>0</v>
      </c>
      <c r="F69" s="34">
        <v>0</v>
      </c>
      <c r="G69" s="35"/>
      <c r="H69" s="39" t="s">
        <v>288</v>
      </c>
      <c r="I69" s="35" t="s">
        <v>260</v>
      </c>
      <c r="J69" s="42">
        <v>100</v>
      </c>
      <c r="K69" s="42">
        <v>100</v>
      </c>
      <c r="L69" s="42">
        <v>100</v>
      </c>
      <c r="M69" s="63">
        <v>100</v>
      </c>
      <c r="N69" s="63">
        <v>100</v>
      </c>
      <c r="O69" s="41">
        <v>100</v>
      </c>
      <c r="P69" s="41">
        <v>100</v>
      </c>
      <c r="Q69" s="41">
        <v>100</v>
      </c>
      <c r="R69" s="63">
        <v>100</v>
      </c>
      <c r="S69" s="63">
        <v>100</v>
      </c>
      <c r="T69" s="63">
        <v>100</v>
      </c>
      <c r="U69" s="42">
        <v>100</v>
      </c>
      <c r="V69" s="90">
        <v>2024</v>
      </c>
      <c r="W69" s="4">
        <f t="shared" si="2"/>
        <v>0</v>
      </c>
      <c r="X69" s="4">
        <f t="shared" si="3"/>
        <v>0</v>
      </c>
    </row>
    <row r="70" spans="1:24" ht="51">
      <c r="A70" s="36" t="s">
        <v>254</v>
      </c>
      <c r="B70" s="37">
        <v>1</v>
      </c>
      <c r="C70" s="37">
        <v>1</v>
      </c>
      <c r="D70" s="37">
        <v>2</v>
      </c>
      <c r="E70" s="37">
        <v>0</v>
      </c>
      <c r="F70" s="37">
        <v>1</v>
      </c>
      <c r="G70" s="38"/>
      <c r="H70" s="43" t="s">
        <v>263</v>
      </c>
      <c r="I70" s="38" t="s">
        <v>279</v>
      </c>
      <c r="J70" s="44" t="s">
        <v>280</v>
      </c>
      <c r="K70" s="44" t="s">
        <v>280</v>
      </c>
      <c r="L70" s="44" t="s">
        <v>280</v>
      </c>
      <c r="M70" s="44" t="s">
        <v>280</v>
      </c>
      <c r="N70" s="44" t="s">
        <v>280</v>
      </c>
      <c r="O70" s="44" t="s">
        <v>280</v>
      </c>
      <c r="P70" s="44" t="s">
        <v>280</v>
      </c>
      <c r="Q70" s="44" t="s">
        <v>280</v>
      </c>
      <c r="R70" s="44" t="s">
        <v>280</v>
      </c>
      <c r="S70" s="44" t="s">
        <v>280</v>
      </c>
      <c r="T70" s="44" t="s">
        <v>280</v>
      </c>
      <c r="U70" s="44" t="s">
        <v>280</v>
      </c>
      <c r="V70" s="38">
        <v>2024</v>
      </c>
      <c r="W70" s="4"/>
      <c r="X70" s="4"/>
    </row>
    <row r="71" spans="1:24" ht="51">
      <c r="A71" s="33" t="s">
        <v>254</v>
      </c>
      <c r="B71" s="34">
        <v>1</v>
      </c>
      <c r="C71" s="34">
        <v>1</v>
      </c>
      <c r="D71" s="34">
        <v>2</v>
      </c>
      <c r="E71" s="34">
        <v>0</v>
      </c>
      <c r="F71" s="34">
        <v>1</v>
      </c>
      <c r="G71" s="35"/>
      <c r="H71" s="39" t="s">
        <v>289</v>
      </c>
      <c r="I71" s="90" t="s">
        <v>260</v>
      </c>
      <c r="J71" s="42">
        <v>100</v>
      </c>
      <c r="K71" s="42">
        <v>100</v>
      </c>
      <c r="L71" s="42">
        <v>100</v>
      </c>
      <c r="M71" s="63">
        <v>100</v>
      </c>
      <c r="N71" s="63">
        <v>100</v>
      </c>
      <c r="O71" s="41">
        <v>100</v>
      </c>
      <c r="P71" s="41">
        <v>100</v>
      </c>
      <c r="Q71" s="41">
        <v>100</v>
      </c>
      <c r="R71" s="63">
        <v>100</v>
      </c>
      <c r="S71" s="63">
        <v>100</v>
      </c>
      <c r="T71" s="63">
        <v>100</v>
      </c>
      <c r="U71" s="42">
        <v>100</v>
      </c>
      <c r="V71" s="90">
        <v>2024</v>
      </c>
      <c r="W71" s="4">
        <f t="shared" si="2"/>
        <v>0</v>
      </c>
      <c r="X71" s="4">
        <f t="shared" si="3"/>
        <v>0</v>
      </c>
    </row>
    <row r="72" spans="1:26" s="7" customFormat="1" ht="51">
      <c r="A72" s="36" t="s">
        <v>254</v>
      </c>
      <c r="B72" s="37">
        <v>1</v>
      </c>
      <c r="C72" s="37">
        <v>1</v>
      </c>
      <c r="D72" s="37">
        <v>2</v>
      </c>
      <c r="E72" s="37">
        <v>0</v>
      </c>
      <c r="F72" s="37">
        <v>2</v>
      </c>
      <c r="G72" s="37"/>
      <c r="H72" s="49" t="s">
        <v>381</v>
      </c>
      <c r="I72" s="37" t="s">
        <v>255</v>
      </c>
      <c r="J72" s="45">
        <f aca="true" t="shared" si="22" ref="J72:T72">J73+J74</f>
        <v>1251949.6</v>
      </c>
      <c r="K72" s="45">
        <f t="shared" si="22"/>
        <v>1249414</v>
      </c>
      <c r="L72" s="45">
        <f t="shared" si="22"/>
        <v>1405865.5</v>
      </c>
      <c r="M72" s="50">
        <f t="shared" si="22"/>
        <v>1546991.8</v>
      </c>
      <c r="N72" s="50">
        <f t="shared" si="22"/>
        <v>1567661.4</v>
      </c>
      <c r="O72" s="50">
        <f t="shared" si="22"/>
        <v>1601805.6</v>
      </c>
      <c r="P72" s="50">
        <f t="shared" si="22"/>
        <v>1670668.9</v>
      </c>
      <c r="Q72" s="50">
        <f t="shared" si="22"/>
        <v>1704258.5</v>
      </c>
      <c r="R72" s="50">
        <f t="shared" si="22"/>
        <v>1711337.6</v>
      </c>
      <c r="S72" s="50">
        <f t="shared" si="22"/>
        <v>1711415.2</v>
      </c>
      <c r="T72" s="50">
        <f t="shared" si="22"/>
        <v>1711415.2</v>
      </c>
      <c r="U72" s="45">
        <f>J72+K72+L72+M72+O72+Q72+R72+S72+T72</f>
        <v>13894453</v>
      </c>
      <c r="V72" s="37">
        <v>2024</v>
      </c>
      <c r="W72" s="4">
        <f t="shared" si="2"/>
        <v>34144.2</v>
      </c>
      <c r="X72" s="4">
        <f t="shared" si="3"/>
        <v>33589.6</v>
      </c>
      <c r="Y72" s="4"/>
      <c r="Z72" s="3"/>
    </row>
    <row r="73" spans="1:26" s="7" customFormat="1" ht="12.75">
      <c r="A73" s="33" t="s">
        <v>254</v>
      </c>
      <c r="B73" s="34">
        <v>1</v>
      </c>
      <c r="C73" s="34">
        <v>1</v>
      </c>
      <c r="D73" s="34">
        <v>2</v>
      </c>
      <c r="E73" s="34">
        <v>0</v>
      </c>
      <c r="F73" s="34">
        <v>2</v>
      </c>
      <c r="G73" s="34">
        <v>3</v>
      </c>
      <c r="H73" s="51" t="s">
        <v>256</v>
      </c>
      <c r="I73" s="88" t="s">
        <v>255</v>
      </c>
      <c r="J73" s="53">
        <f>288484.2-5223.9</f>
        <v>283260.3</v>
      </c>
      <c r="K73" s="53">
        <f>271560.6-0.06</f>
        <v>271560.5</v>
      </c>
      <c r="L73" s="53">
        <v>300108.5</v>
      </c>
      <c r="M73" s="65">
        <v>365667.1</v>
      </c>
      <c r="N73" s="65">
        <v>327159.1</v>
      </c>
      <c r="O73" s="67">
        <f>361378.4-75.1</f>
        <v>361303.3</v>
      </c>
      <c r="P73" s="67">
        <v>327159.1</v>
      </c>
      <c r="Q73" s="67">
        <f>360824.7-76</f>
        <v>360748.7</v>
      </c>
      <c r="R73" s="65">
        <f>367905.4-77.7+0.1</f>
        <v>367827.8</v>
      </c>
      <c r="S73" s="65">
        <v>367905.4</v>
      </c>
      <c r="T73" s="65">
        <v>367905.4</v>
      </c>
      <c r="U73" s="53">
        <f>J73+K73+L73+M73+O73+Q73+R73+S73+T73</f>
        <v>3046287</v>
      </c>
      <c r="V73" s="88">
        <v>2024</v>
      </c>
      <c r="W73" s="4">
        <f aca="true" t="shared" si="23" ref="W73:W136">O73-N73</f>
        <v>34144.2</v>
      </c>
      <c r="X73" s="4">
        <f aca="true" t="shared" si="24" ref="X73:X136">Q73-P73</f>
        <v>33589.6</v>
      </c>
      <c r="Y73" s="4"/>
      <c r="Z73" s="3"/>
    </row>
    <row r="74" spans="1:26" s="7" customFormat="1" ht="12.75">
      <c r="A74" s="33" t="s">
        <v>254</v>
      </c>
      <c r="B74" s="34">
        <v>1</v>
      </c>
      <c r="C74" s="34">
        <v>1</v>
      </c>
      <c r="D74" s="34">
        <v>2</v>
      </c>
      <c r="E74" s="34">
        <v>0</v>
      </c>
      <c r="F74" s="34">
        <v>2</v>
      </c>
      <c r="G74" s="34">
        <v>2</v>
      </c>
      <c r="H74" s="51" t="s">
        <v>257</v>
      </c>
      <c r="I74" s="88" t="s">
        <v>255</v>
      </c>
      <c r="J74" s="53">
        <v>968689.3</v>
      </c>
      <c r="K74" s="53">
        <v>977853.5</v>
      </c>
      <c r="L74" s="53">
        <v>1105757</v>
      </c>
      <c r="M74" s="65">
        <v>1181324.7</v>
      </c>
      <c r="N74" s="65">
        <v>1240502.3</v>
      </c>
      <c r="O74" s="67">
        <v>1240502.3</v>
      </c>
      <c r="P74" s="67">
        <v>1343509.8</v>
      </c>
      <c r="Q74" s="67">
        <v>1343509.8</v>
      </c>
      <c r="R74" s="65">
        <v>1343509.8</v>
      </c>
      <c r="S74" s="65">
        <v>1343509.8</v>
      </c>
      <c r="T74" s="65">
        <v>1343509.8</v>
      </c>
      <c r="U74" s="53">
        <f>J74+K74+L74+M74+O74+Q74+R74+S74+T74</f>
        <v>10848166</v>
      </c>
      <c r="V74" s="88">
        <v>2024</v>
      </c>
      <c r="W74" s="4">
        <f t="shared" si="23"/>
        <v>0</v>
      </c>
      <c r="X74" s="4">
        <f t="shared" si="24"/>
        <v>0</v>
      </c>
      <c r="Y74" s="4"/>
      <c r="Z74" s="3"/>
    </row>
    <row r="75" spans="1:24" ht="38.25">
      <c r="A75" s="33" t="s">
        <v>254</v>
      </c>
      <c r="B75" s="34">
        <v>1</v>
      </c>
      <c r="C75" s="34">
        <v>1</v>
      </c>
      <c r="D75" s="34">
        <v>2</v>
      </c>
      <c r="E75" s="34">
        <v>0</v>
      </c>
      <c r="F75" s="34">
        <v>2</v>
      </c>
      <c r="G75" s="35"/>
      <c r="H75" s="54" t="s">
        <v>293</v>
      </c>
      <c r="I75" s="90" t="s">
        <v>283</v>
      </c>
      <c r="J75" s="48">
        <v>18792</v>
      </c>
      <c r="K75" s="48">
        <v>19077</v>
      </c>
      <c r="L75" s="48">
        <v>19805</v>
      </c>
      <c r="M75" s="97">
        <v>20363</v>
      </c>
      <c r="N75" s="97">
        <v>20814</v>
      </c>
      <c r="O75" s="70">
        <v>20951</v>
      </c>
      <c r="P75" s="70">
        <v>21227</v>
      </c>
      <c r="Q75" s="70">
        <v>21576</v>
      </c>
      <c r="R75" s="97">
        <v>21940</v>
      </c>
      <c r="S75" s="97">
        <v>21940</v>
      </c>
      <c r="T75" s="97">
        <v>21940</v>
      </c>
      <c r="U75" s="48">
        <f>(J75+K75+L75+M75+O75+Q75+R75+S75+T75)/9</f>
        <v>20709</v>
      </c>
      <c r="V75" s="90">
        <v>2024</v>
      </c>
      <c r="W75" s="4">
        <f t="shared" si="23"/>
        <v>137</v>
      </c>
      <c r="X75" s="4">
        <f t="shared" si="24"/>
        <v>349</v>
      </c>
    </row>
    <row r="76" spans="1:24" ht="51">
      <c r="A76" s="33" t="s">
        <v>254</v>
      </c>
      <c r="B76" s="34">
        <v>1</v>
      </c>
      <c r="C76" s="34">
        <v>1</v>
      </c>
      <c r="D76" s="34">
        <v>2</v>
      </c>
      <c r="E76" s="34">
        <v>0</v>
      </c>
      <c r="F76" s="34">
        <v>2</v>
      </c>
      <c r="G76" s="35"/>
      <c r="H76" s="54" t="s">
        <v>242</v>
      </c>
      <c r="I76" s="90" t="s">
        <v>283</v>
      </c>
      <c r="J76" s="104">
        <v>25</v>
      </c>
      <c r="K76" s="104">
        <v>25</v>
      </c>
      <c r="L76" s="104">
        <v>25</v>
      </c>
      <c r="M76" s="105">
        <v>25</v>
      </c>
      <c r="N76" s="105">
        <v>25</v>
      </c>
      <c r="O76" s="74">
        <v>25</v>
      </c>
      <c r="P76" s="74">
        <v>25</v>
      </c>
      <c r="Q76" s="74">
        <v>25</v>
      </c>
      <c r="R76" s="74">
        <v>25</v>
      </c>
      <c r="S76" s="74">
        <v>25</v>
      </c>
      <c r="T76" s="74">
        <v>25</v>
      </c>
      <c r="U76" s="48">
        <v>25</v>
      </c>
      <c r="V76" s="90">
        <v>2024</v>
      </c>
      <c r="W76" s="4">
        <f t="shared" si="23"/>
        <v>0</v>
      </c>
      <c r="X76" s="4">
        <f t="shared" si="24"/>
        <v>0</v>
      </c>
    </row>
    <row r="77" spans="1:24" ht="89.25">
      <c r="A77" s="33" t="s">
        <v>254</v>
      </c>
      <c r="B77" s="34">
        <v>1</v>
      </c>
      <c r="C77" s="34">
        <v>1</v>
      </c>
      <c r="D77" s="34">
        <v>2</v>
      </c>
      <c r="E77" s="34">
        <v>0</v>
      </c>
      <c r="F77" s="34">
        <v>2</v>
      </c>
      <c r="G77" s="35"/>
      <c r="H77" s="54" t="s">
        <v>110</v>
      </c>
      <c r="I77" s="90" t="s">
        <v>260</v>
      </c>
      <c r="J77" s="96">
        <f>J73/J9*100</f>
        <v>25.6</v>
      </c>
      <c r="K77" s="96">
        <f>K73/K10*100</f>
        <v>12.9</v>
      </c>
      <c r="L77" s="96">
        <f>L73/L9*100</f>
        <v>21.6</v>
      </c>
      <c r="M77" s="96">
        <f aca="true" t="shared" si="25" ref="M77:T77">M73/M9*100</f>
        <v>21</v>
      </c>
      <c r="N77" s="96">
        <f t="shared" si="25"/>
        <v>23.3</v>
      </c>
      <c r="O77" s="96">
        <f>O73/O9*100</f>
        <v>22.5</v>
      </c>
      <c r="P77" s="96">
        <f t="shared" si="25"/>
        <v>23.2</v>
      </c>
      <c r="Q77" s="96">
        <f t="shared" si="25"/>
        <v>23.1</v>
      </c>
      <c r="R77" s="96">
        <f>R73/R9*100</f>
        <v>22.6</v>
      </c>
      <c r="S77" s="96">
        <f>S73/S9*100</f>
        <v>22.6</v>
      </c>
      <c r="T77" s="96">
        <f t="shared" si="25"/>
        <v>22.6</v>
      </c>
      <c r="U77" s="96">
        <f>U73/U9*100</f>
        <v>22.6</v>
      </c>
      <c r="V77" s="90">
        <v>2024</v>
      </c>
      <c r="W77" s="4">
        <f t="shared" si="23"/>
        <v>-0.8</v>
      </c>
      <c r="X77" s="4">
        <f t="shared" si="24"/>
        <v>-0.1</v>
      </c>
    </row>
    <row r="78" spans="1:24" ht="63.75">
      <c r="A78" s="33" t="s">
        <v>254</v>
      </c>
      <c r="B78" s="34">
        <v>1</v>
      </c>
      <c r="C78" s="34">
        <v>1</v>
      </c>
      <c r="D78" s="34">
        <v>2</v>
      </c>
      <c r="E78" s="34">
        <v>0</v>
      </c>
      <c r="F78" s="34">
        <v>2</v>
      </c>
      <c r="G78" s="35"/>
      <c r="H78" s="54" t="s">
        <v>168</v>
      </c>
      <c r="I78" s="90" t="s">
        <v>255</v>
      </c>
      <c r="J78" s="96">
        <f>J74/J75</f>
        <v>51.5</v>
      </c>
      <c r="K78" s="96">
        <f>K74/K75</f>
        <v>51.3</v>
      </c>
      <c r="L78" s="96">
        <f>L74/L75</f>
        <v>55.8</v>
      </c>
      <c r="M78" s="96">
        <f>M74/M75</f>
        <v>58</v>
      </c>
      <c r="N78" s="96">
        <f aca="true" t="shared" si="26" ref="N78:T78">N74/N75</f>
        <v>59.6</v>
      </c>
      <c r="O78" s="96">
        <f>O74/O75</f>
        <v>59.2</v>
      </c>
      <c r="P78" s="96">
        <f t="shared" si="26"/>
        <v>63.3</v>
      </c>
      <c r="Q78" s="96">
        <f>Q74/Q75</f>
        <v>62.3</v>
      </c>
      <c r="R78" s="96">
        <f>R74/R75</f>
        <v>61.2</v>
      </c>
      <c r="S78" s="96">
        <f>S74/S75</f>
        <v>61.2</v>
      </c>
      <c r="T78" s="96">
        <f t="shared" si="26"/>
        <v>61.2</v>
      </c>
      <c r="U78" s="42">
        <f>J78+K78+L78+M78+O78+Q78+R78+S78+T78</f>
        <v>521.7</v>
      </c>
      <c r="V78" s="90">
        <v>2024</v>
      </c>
      <c r="W78" s="4">
        <f t="shared" si="23"/>
        <v>-0.4</v>
      </c>
      <c r="X78" s="4">
        <f t="shared" si="24"/>
        <v>-1</v>
      </c>
    </row>
    <row r="79" spans="1:24" ht="63.75">
      <c r="A79" s="33" t="s">
        <v>254</v>
      </c>
      <c r="B79" s="34">
        <v>1</v>
      </c>
      <c r="C79" s="34">
        <v>1</v>
      </c>
      <c r="D79" s="34">
        <v>2</v>
      </c>
      <c r="E79" s="34">
        <v>0</v>
      </c>
      <c r="F79" s="34">
        <v>2</v>
      </c>
      <c r="G79" s="35"/>
      <c r="H79" s="54" t="s">
        <v>140</v>
      </c>
      <c r="I79" s="90" t="s">
        <v>84</v>
      </c>
      <c r="J79" s="42">
        <v>0</v>
      </c>
      <c r="K79" s="42">
        <f>34903+535.3</f>
        <v>35438.3</v>
      </c>
      <c r="L79" s="42">
        <v>39464.4</v>
      </c>
      <c r="M79" s="63">
        <v>43421.1</v>
      </c>
      <c r="N79" s="63">
        <v>43421.1</v>
      </c>
      <c r="O79" s="41">
        <v>47181.4</v>
      </c>
      <c r="P79" s="41">
        <v>43421.1</v>
      </c>
      <c r="Q79" s="41">
        <v>47181.4</v>
      </c>
      <c r="R79" s="41">
        <v>47181.4</v>
      </c>
      <c r="S79" s="41">
        <v>47181.4</v>
      </c>
      <c r="T79" s="41">
        <v>47181.4</v>
      </c>
      <c r="U79" s="42">
        <v>47181.4</v>
      </c>
      <c r="V79" s="90">
        <v>2024</v>
      </c>
      <c r="W79" s="4">
        <f t="shared" si="23"/>
        <v>3760.3</v>
      </c>
      <c r="X79" s="4">
        <f t="shared" si="24"/>
        <v>3760.3</v>
      </c>
    </row>
    <row r="80" spans="1:24" ht="63.75">
      <c r="A80" s="33" t="s">
        <v>254</v>
      </c>
      <c r="B80" s="34">
        <v>1</v>
      </c>
      <c r="C80" s="34">
        <v>1</v>
      </c>
      <c r="D80" s="34">
        <v>2</v>
      </c>
      <c r="E80" s="34">
        <v>0</v>
      </c>
      <c r="F80" s="34">
        <v>2</v>
      </c>
      <c r="G80" s="35"/>
      <c r="H80" s="39" t="s">
        <v>128</v>
      </c>
      <c r="I80" s="90" t="s">
        <v>283</v>
      </c>
      <c r="J80" s="104">
        <v>0</v>
      </c>
      <c r="K80" s="48">
        <v>0</v>
      </c>
      <c r="L80" s="48">
        <v>420</v>
      </c>
      <c r="M80" s="105">
        <v>404</v>
      </c>
      <c r="N80" s="105">
        <v>292</v>
      </c>
      <c r="O80" s="106">
        <v>404</v>
      </c>
      <c r="P80" s="106">
        <v>266</v>
      </c>
      <c r="Q80" s="106">
        <v>404</v>
      </c>
      <c r="R80" s="106">
        <v>404</v>
      </c>
      <c r="S80" s="106">
        <v>404</v>
      </c>
      <c r="T80" s="106">
        <v>404</v>
      </c>
      <c r="U80" s="48">
        <f>J80+K80+L80+M80+O80+Q80+R80+S80+T80</f>
        <v>2844</v>
      </c>
      <c r="V80" s="90">
        <v>2024</v>
      </c>
      <c r="W80" s="4">
        <f t="shared" si="23"/>
        <v>112</v>
      </c>
      <c r="X80" s="4">
        <f t="shared" si="24"/>
        <v>138</v>
      </c>
    </row>
    <row r="81" spans="1:26" s="7" customFormat="1" ht="38.25">
      <c r="A81" s="36" t="s">
        <v>254</v>
      </c>
      <c r="B81" s="37">
        <v>1</v>
      </c>
      <c r="C81" s="37">
        <v>1</v>
      </c>
      <c r="D81" s="37">
        <v>2</v>
      </c>
      <c r="E81" s="37">
        <v>0</v>
      </c>
      <c r="F81" s="37">
        <v>3</v>
      </c>
      <c r="G81" s="37">
        <v>3</v>
      </c>
      <c r="H81" s="49" t="s">
        <v>382</v>
      </c>
      <c r="I81" s="37" t="s">
        <v>255</v>
      </c>
      <c r="J81" s="45">
        <f aca="true" t="shared" si="27" ref="J81:T81">J82</f>
        <v>5283.5</v>
      </c>
      <c r="K81" s="45">
        <f t="shared" si="27"/>
        <v>20006.3</v>
      </c>
      <c r="L81" s="45">
        <f t="shared" si="27"/>
        <v>18784.7</v>
      </c>
      <c r="M81" s="50">
        <f t="shared" si="27"/>
        <v>26841.4</v>
      </c>
      <c r="N81" s="50">
        <f t="shared" si="27"/>
        <v>34391.7</v>
      </c>
      <c r="O81" s="50">
        <f t="shared" si="27"/>
        <v>33213.3</v>
      </c>
      <c r="P81" s="50">
        <f t="shared" si="27"/>
        <v>25978.4</v>
      </c>
      <c r="Q81" s="50">
        <f t="shared" si="27"/>
        <v>33213.3</v>
      </c>
      <c r="R81" s="50">
        <f t="shared" si="27"/>
        <v>33213.3</v>
      </c>
      <c r="S81" s="50">
        <f t="shared" si="27"/>
        <v>33213.3</v>
      </c>
      <c r="T81" s="50">
        <f t="shared" si="27"/>
        <v>33213.3</v>
      </c>
      <c r="U81" s="45">
        <f>J81+K81+L81+M81+O81+Q81+R81+S81+T81</f>
        <v>236982.4</v>
      </c>
      <c r="V81" s="37">
        <v>2024</v>
      </c>
      <c r="W81" s="4">
        <f t="shared" si="23"/>
        <v>-1178.4</v>
      </c>
      <c r="X81" s="4">
        <f t="shared" si="24"/>
        <v>7234.9</v>
      </c>
      <c r="Y81" s="4"/>
      <c r="Z81" s="3"/>
    </row>
    <row r="82" spans="1:26" s="7" customFormat="1" ht="12.75">
      <c r="A82" s="33" t="s">
        <v>254</v>
      </c>
      <c r="B82" s="34">
        <v>1</v>
      </c>
      <c r="C82" s="34">
        <v>1</v>
      </c>
      <c r="D82" s="34">
        <v>2</v>
      </c>
      <c r="E82" s="34">
        <v>0</v>
      </c>
      <c r="F82" s="34">
        <v>3</v>
      </c>
      <c r="G82" s="34">
        <v>3</v>
      </c>
      <c r="H82" s="51" t="s">
        <v>256</v>
      </c>
      <c r="I82" s="34" t="s">
        <v>255</v>
      </c>
      <c r="J82" s="53">
        <v>5283.5</v>
      </c>
      <c r="K82" s="53">
        <f>21017.5-1011.2</f>
        <v>20006.3</v>
      </c>
      <c r="L82" s="53">
        <f>23622.4-4839.4+1.7</f>
        <v>18784.7</v>
      </c>
      <c r="M82" s="65">
        <v>26841.4</v>
      </c>
      <c r="N82" s="65">
        <v>34391.7</v>
      </c>
      <c r="O82" s="67">
        <v>33213.3</v>
      </c>
      <c r="P82" s="67">
        <v>25978.4</v>
      </c>
      <c r="Q82" s="67">
        <v>33213.3</v>
      </c>
      <c r="R82" s="65">
        <v>33213.3</v>
      </c>
      <c r="S82" s="65">
        <v>33213.3</v>
      </c>
      <c r="T82" s="65">
        <v>33213.3</v>
      </c>
      <c r="U82" s="53">
        <f>J82+K82+L82+M82+O82+Q82+R82+S82+T82</f>
        <v>236982.4</v>
      </c>
      <c r="V82" s="88">
        <v>2024</v>
      </c>
      <c r="W82" s="4">
        <f t="shared" si="23"/>
        <v>-1178.4</v>
      </c>
      <c r="X82" s="4">
        <f t="shared" si="24"/>
        <v>7234.9</v>
      </c>
      <c r="Y82" s="4"/>
      <c r="Z82" s="3"/>
    </row>
    <row r="83" spans="1:24" ht="51">
      <c r="A83" s="33" t="s">
        <v>254</v>
      </c>
      <c r="B83" s="34">
        <v>1</v>
      </c>
      <c r="C83" s="34">
        <v>1</v>
      </c>
      <c r="D83" s="34">
        <v>2</v>
      </c>
      <c r="E83" s="34">
        <v>0</v>
      </c>
      <c r="F83" s="34">
        <v>3</v>
      </c>
      <c r="G83" s="35"/>
      <c r="H83" s="39" t="s">
        <v>70</v>
      </c>
      <c r="I83" s="35" t="s">
        <v>294</v>
      </c>
      <c r="J83" s="48">
        <v>29</v>
      </c>
      <c r="K83" s="101">
        <v>28</v>
      </c>
      <c r="L83" s="101">
        <v>28</v>
      </c>
      <c r="M83" s="102">
        <v>28</v>
      </c>
      <c r="N83" s="102">
        <v>28</v>
      </c>
      <c r="O83" s="103">
        <v>28</v>
      </c>
      <c r="P83" s="103">
        <v>28</v>
      </c>
      <c r="Q83" s="103">
        <v>28</v>
      </c>
      <c r="R83" s="103">
        <v>28</v>
      </c>
      <c r="S83" s="103">
        <v>28</v>
      </c>
      <c r="T83" s="103">
        <v>28</v>
      </c>
      <c r="U83" s="48">
        <v>28</v>
      </c>
      <c r="V83" s="90">
        <v>2024</v>
      </c>
      <c r="W83" s="4">
        <f t="shared" si="23"/>
        <v>0</v>
      </c>
      <c r="X83" s="4">
        <f t="shared" si="24"/>
        <v>0</v>
      </c>
    </row>
    <row r="84" spans="1:24" ht="111" customHeight="1">
      <c r="A84" s="33" t="s">
        <v>254</v>
      </c>
      <c r="B84" s="34">
        <v>1</v>
      </c>
      <c r="C84" s="34">
        <v>1</v>
      </c>
      <c r="D84" s="34">
        <v>2</v>
      </c>
      <c r="E84" s="34">
        <v>0</v>
      </c>
      <c r="F84" s="34">
        <v>3</v>
      </c>
      <c r="G84" s="35"/>
      <c r="H84" s="39" t="s">
        <v>141</v>
      </c>
      <c r="I84" s="35" t="s">
        <v>294</v>
      </c>
      <c r="J84" s="48">
        <v>0</v>
      </c>
      <c r="K84" s="101">
        <v>7</v>
      </c>
      <c r="L84" s="101">
        <v>7</v>
      </c>
      <c r="M84" s="102">
        <v>19</v>
      </c>
      <c r="N84" s="102">
        <v>16</v>
      </c>
      <c r="O84" s="70">
        <v>18</v>
      </c>
      <c r="P84" s="70">
        <v>16</v>
      </c>
      <c r="Q84" s="70">
        <v>18</v>
      </c>
      <c r="R84" s="70">
        <v>18</v>
      </c>
      <c r="S84" s="70">
        <v>18</v>
      </c>
      <c r="T84" s="70">
        <v>18</v>
      </c>
      <c r="U84" s="48">
        <v>18</v>
      </c>
      <c r="V84" s="90">
        <v>2024</v>
      </c>
      <c r="W84" s="4">
        <f t="shared" si="23"/>
        <v>2</v>
      </c>
      <c r="X84" s="4">
        <f t="shared" si="24"/>
        <v>2</v>
      </c>
    </row>
    <row r="85" spans="1:24" ht="31.5" customHeight="1">
      <c r="A85" s="33" t="s">
        <v>254</v>
      </c>
      <c r="B85" s="34">
        <v>1</v>
      </c>
      <c r="C85" s="34">
        <v>1</v>
      </c>
      <c r="D85" s="34">
        <v>2</v>
      </c>
      <c r="E85" s="34">
        <v>0</v>
      </c>
      <c r="F85" s="34">
        <v>3</v>
      </c>
      <c r="G85" s="35"/>
      <c r="H85" s="39" t="s">
        <v>142</v>
      </c>
      <c r="I85" s="35" t="s">
        <v>283</v>
      </c>
      <c r="J85" s="48">
        <v>0</v>
      </c>
      <c r="K85" s="48">
        <f>1475-29-224</f>
        <v>1222</v>
      </c>
      <c r="L85" s="48">
        <v>1298</v>
      </c>
      <c r="M85" s="97">
        <v>1361</v>
      </c>
      <c r="N85" s="97">
        <v>1548</v>
      </c>
      <c r="O85" s="70">
        <v>1470</v>
      </c>
      <c r="P85" s="70">
        <v>1173</v>
      </c>
      <c r="Q85" s="70">
        <v>1470</v>
      </c>
      <c r="R85" s="70">
        <v>1470</v>
      </c>
      <c r="S85" s="70">
        <v>1470</v>
      </c>
      <c r="T85" s="70">
        <v>1470</v>
      </c>
      <c r="U85" s="48">
        <f>J85+K85+L85+M85+O85+Q85+R85+S85+T85</f>
        <v>11231</v>
      </c>
      <c r="V85" s="90">
        <v>2024</v>
      </c>
      <c r="W85" s="4">
        <f t="shared" si="23"/>
        <v>-78</v>
      </c>
      <c r="X85" s="4">
        <f t="shared" si="24"/>
        <v>297</v>
      </c>
    </row>
    <row r="86" spans="1:26" s="7" customFormat="1" ht="63.75">
      <c r="A86" s="36" t="s">
        <v>254</v>
      </c>
      <c r="B86" s="37">
        <v>1</v>
      </c>
      <c r="C86" s="37">
        <v>1</v>
      </c>
      <c r="D86" s="37">
        <v>2</v>
      </c>
      <c r="E86" s="37">
        <v>0</v>
      </c>
      <c r="F86" s="37">
        <v>4</v>
      </c>
      <c r="G86" s="37"/>
      <c r="H86" s="49" t="s">
        <v>383</v>
      </c>
      <c r="I86" s="37" t="s">
        <v>255</v>
      </c>
      <c r="J86" s="45">
        <f>J87</f>
        <v>9796.1</v>
      </c>
      <c r="K86" s="45">
        <f>K87</f>
        <v>8719.3</v>
      </c>
      <c r="L86" s="45">
        <f>L87+L88</f>
        <v>12072.3</v>
      </c>
      <c r="M86" s="50">
        <f>M87+M88</f>
        <v>11354.4</v>
      </c>
      <c r="N86" s="50">
        <f>N87+N88</f>
        <v>3723.5</v>
      </c>
      <c r="O86" s="50">
        <f aca="true" t="shared" si="28" ref="O86:T86">O87</f>
        <v>5122.1</v>
      </c>
      <c r="P86" s="50">
        <f t="shared" si="28"/>
        <v>3782.7</v>
      </c>
      <c r="Q86" s="50">
        <f t="shared" si="28"/>
        <v>5122.1</v>
      </c>
      <c r="R86" s="50">
        <f t="shared" si="28"/>
        <v>5122.1</v>
      </c>
      <c r="S86" s="50">
        <f t="shared" si="28"/>
        <v>5122.1</v>
      </c>
      <c r="T86" s="50">
        <f t="shared" si="28"/>
        <v>5122.1</v>
      </c>
      <c r="U86" s="45">
        <f>J86+L86+K86+M86+O86+Q86+R86+S86+T86</f>
        <v>67552.6</v>
      </c>
      <c r="V86" s="37">
        <v>2024</v>
      </c>
      <c r="W86" s="4">
        <f t="shared" si="23"/>
        <v>1398.6</v>
      </c>
      <c r="X86" s="4">
        <f t="shared" si="24"/>
        <v>1339.4</v>
      </c>
      <c r="Y86" s="4"/>
      <c r="Z86" s="3"/>
    </row>
    <row r="87" spans="1:26" s="7" customFormat="1" ht="12.75">
      <c r="A87" s="33" t="s">
        <v>254</v>
      </c>
      <c r="B87" s="34">
        <v>1</v>
      </c>
      <c r="C87" s="34">
        <v>1</v>
      </c>
      <c r="D87" s="34">
        <v>2</v>
      </c>
      <c r="E87" s="34">
        <v>0</v>
      </c>
      <c r="F87" s="34">
        <v>4</v>
      </c>
      <c r="G87" s="34">
        <v>3</v>
      </c>
      <c r="H87" s="51" t="s">
        <v>256</v>
      </c>
      <c r="I87" s="34" t="s">
        <v>255</v>
      </c>
      <c r="J87" s="53">
        <v>9796.1</v>
      </c>
      <c r="K87" s="53">
        <f>7708.1+1011.2</f>
        <v>8719.3</v>
      </c>
      <c r="L87" s="53">
        <f>6803+4839.4-1.7</f>
        <v>11640.7</v>
      </c>
      <c r="M87" s="65">
        <v>9181.4</v>
      </c>
      <c r="N87" s="65">
        <v>3723.5</v>
      </c>
      <c r="O87" s="67">
        <v>5122.1</v>
      </c>
      <c r="P87" s="67">
        <v>3782.7</v>
      </c>
      <c r="Q87" s="67">
        <v>5122.1</v>
      </c>
      <c r="R87" s="65">
        <v>5122.1</v>
      </c>
      <c r="S87" s="65">
        <v>5122.1</v>
      </c>
      <c r="T87" s="65">
        <v>5122.1</v>
      </c>
      <c r="U87" s="52">
        <f>J87+K87+L87+M87+O87+Q87+R87+S87+T87</f>
        <v>64948</v>
      </c>
      <c r="V87" s="88">
        <v>2024</v>
      </c>
      <c r="W87" s="4">
        <f t="shared" si="23"/>
        <v>1398.6</v>
      </c>
      <c r="X87" s="4">
        <f t="shared" si="24"/>
        <v>1339.4</v>
      </c>
      <c r="Y87" s="4"/>
      <c r="Z87" s="3"/>
    </row>
    <row r="88" spans="1:26" s="7" customFormat="1" ht="12.75">
      <c r="A88" s="33" t="s">
        <v>254</v>
      </c>
      <c r="B88" s="34">
        <v>1</v>
      </c>
      <c r="C88" s="34">
        <v>1</v>
      </c>
      <c r="D88" s="34">
        <v>2</v>
      </c>
      <c r="E88" s="34">
        <v>0</v>
      </c>
      <c r="F88" s="34">
        <v>4</v>
      </c>
      <c r="G88" s="34">
        <v>2</v>
      </c>
      <c r="H88" s="51" t="s">
        <v>257</v>
      </c>
      <c r="I88" s="34" t="s">
        <v>255</v>
      </c>
      <c r="J88" s="53">
        <v>0</v>
      </c>
      <c r="K88" s="53">
        <v>0</v>
      </c>
      <c r="L88" s="53">
        <v>431.6</v>
      </c>
      <c r="M88" s="65">
        <v>2173</v>
      </c>
      <c r="N88" s="65">
        <v>0</v>
      </c>
      <c r="O88" s="67">
        <v>0</v>
      </c>
      <c r="P88" s="67">
        <v>0</v>
      </c>
      <c r="Q88" s="67">
        <v>0</v>
      </c>
      <c r="R88" s="65">
        <v>0</v>
      </c>
      <c r="S88" s="65">
        <v>0</v>
      </c>
      <c r="T88" s="65">
        <v>0</v>
      </c>
      <c r="U88" s="53">
        <f>J88+K88+L88+M88+O88+Q88+R88+S88+T88</f>
        <v>2604.6</v>
      </c>
      <c r="V88" s="88">
        <v>2019</v>
      </c>
      <c r="W88" s="4">
        <f t="shared" si="23"/>
        <v>0</v>
      </c>
      <c r="X88" s="4">
        <f t="shared" si="24"/>
        <v>0</v>
      </c>
      <c r="Y88" s="4"/>
      <c r="Z88" s="3"/>
    </row>
    <row r="89" spans="1:24" ht="51">
      <c r="A89" s="33" t="s">
        <v>254</v>
      </c>
      <c r="B89" s="34">
        <v>1</v>
      </c>
      <c r="C89" s="34">
        <v>1</v>
      </c>
      <c r="D89" s="34">
        <v>2</v>
      </c>
      <c r="E89" s="34">
        <v>0</v>
      </c>
      <c r="F89" s="34">
        <v>4</v>
      </c>
      <c r="G89" s="35"/>
      <c r="H89" s="54" t="s">
        <v>295</v>
      </c>
      <c r="I89" s="35" t="s">
        <v>294</v>
      </c>
      <c r="J89" s="48">
        <v>18</v>
      </c>
      <c r="K89" s="48">
        <v>11</v>
      </c>
      <c r="L89" s="48">
        <v>16</v>
      </c>
      <c r="M89" s="97">
        <v>12</v>
      </c>
      <c r="N89" s="97">
        <v>12</v>
      </c>
      <c r="O89" s="98">
        <v>16</v>
      </c>
      <c r="P89" s="98">
        <v>18</v>
      </c>
      <c r="Q89" s="70">
        <v>11</v>
      </c>
      <c r="R89" s="97">
        <v>12</v>
      </c>
      <c r="S89" s="97">
        <v>12</v>
      </c>
      <c r="T89" s="97">
        <v>12</v>
      </c>
      <c r="U89" s="48">
        <v>18</v>
      </c>
      <c r="V89" s="90">
        <v>2024</v>
      </c>
      <c r="W89" s="4">
        <f t="shared" si="23"/>
        <v>4</v>
      </c>
      <c r="X89" s="4">
        <f t="shared" si="24"/>
        <v>-7</v>
      </c>
    </row>
    <row r="90" spans="1:24" ht="63.75">
      <c r="A90" s="33" t="s">
        <v>254</v>
      </c>
      <c r="B90" s="34">
        <v>1</v>
      </c>
      <c r="C90" s="34">
        <v>1</v>
      </c>
      <c r="D90" s="34">
        <v>2</v>
      </c>
      <c r="E90" s="34">
        <v>0</v>
      </c>
      <c r="F90" s="34">
        <v>4</v>
      </c>
      <c r="G90" s="35"/>
      <c r="H90" s="54" t="s">
        <v>69</v>
      </c>
      <c r="I90" s="35" t="s">
        <v>294</v>
      </c>
      <c r="J90" s="101">
        <v>29</v>
      </c>
      <c r="K90" s="101">
        <v>28</v>
      </c>
      <c r="L90" s="101">
        <f>6+22</f>
        <v>28</v>
      </c>
      <c r="M90" s="102">
        <v>28</v>
      </c>
      <c r="N90" s="102">
        <v>28</v>
      </c>
      <c r="O90" s="103">
        <v>28</v>
      </c>
      <c r="P90" s="103">
        <v>28</v>
      </c>
      <c r="Q90" s="103">
        <v>28</v>
      </c>
      <c r="R90" s="102">
        <v>28</v>
      </c>
      <c r="S90" s="102">
        <v>28</v>
      </c>
      <c r="T90" s="102">
        <v>28</v>
      </c>
      <c r="U90" s="48">
        <v>28</v>
      </c>
      <c r="V90" s="101">
        <v>2024</v>
      </c>
      <c r="W90" s="4">
        <f t="shared" si="23"/>
        <v>0</v>
      </c>
      <c r="X90" s="4">
        <f t="shared" si="24"/>
        <v>0</v>
      </c>
    </row>
    <row r="91" spans="1:24" ht="51">
      <c r="A91" s="33" t="s">
        <v>254</v>
      </c>
      <c r="B91" s="34">
        <v>1</v>
      </c>
      <c r="C91" s="34">
        <v>1</v>
      </c>
      <c r="D91" s="34">
        <v>2</v>
      </c>
      <c r="E91" s="34">
        <v>0</v>
      </c>
      <c r="F91" s="34">
        <v>4</v>
      </c>
      <c r="G91" s="35"/>
      <c r="H91" s="54" t="s">
        <v>143</v>
      </c>
      <c r="I91" s="35" t="s">
        <v>294</v>
      </c>
      <c r="J91" s="101">
        <v>0</v>
      </c>
      <c r="K91" s="101">
        <f>1+1+2</f>
        <v>4</v>
      </c>
      <c r="L91" s="101">
        <v>28</v>
      </c>
      <c r="M91" s="102">
        <v>0</v>
      </c>
      <c r="N91" s="102">
        <v>0</v>
      </c>
      <c r="O91" s="103">
        <v>0</v>
      </c>
      <c r="P91" s="103">
        <v>0</v>
      </c>
      <c r="Q91" s="103">
        <v>0</v>
      </c>
      <c r="R91" s="102">
        <v>0</v>
      </c>
      <c r="S91" s="102">
        <v>0</v>
      </c>
      <c r="T91" s="102">
        <v>0</v>
      </c>
      <c r="U91" s="48">
        <v>28</v>
      </c>
      <c r="V91" s="101">
        <v>2018</v>
      </c>
      <c r="W91" s="4">
        <f t="shared" si="23"/>
        <v>0</v>
      </c>
      <c r="X91" s="4">
        <f t="shared" si="24"/>
        <v>0</v>
      </c>
    </row>
    <row r="92" spans="1:24" ht="38.25">
      <c r="A92" s="33" t="s">
        <v>254</v>
      </c>
      <c r="B92" s="34">
        <v>1</v>
      </c>
      <c r="C92" s="34">
        <v>1</v>
      </c>
      <c r="D92" s="34">
        <v>2</v>
      </c>
      <c r="E92" s="34">
        <v>0</v>
      </c>
      <c r="F92" s="34">
        <v>4</v>
      </c>
      <c r="G92" s="35"/>
      <c r="H92" s="170" t="s">
        <v>225</v>
      </c>
      <c r="I92" s="35" t="s">
        <v>294</v>
      </c>
      <c r="J92" s="101">
        <v>0</v>
      </c>
      <c r="K92" s="101">
        <v>0</v>
      </c>
      <c r="L92" s="101">
        <v>0</v>
      </c>
      <c r="M92" s="102">
        <v>1</v>
      </c>
      <c r="N92" s="102">
        <v>0</v>
      </c>
      <c r="O92" s="103">
        <v>0</v>
      </c>
      <c r="P92" s="103">
        <v>0</v>
      </c>
      <c r="Q92" s="103">
        <v>0</v>
      </c>
      <c r="R92" s="102">
        <v>0</v>
      </c>
      <c r="S92" s="102">
        <v>0</v>
      </c>
      <c r="T92" s="102">
        <v>0</v>
      </c>
      <c r="U92" s="48">
        <f>J92+K92+L92+M92+O92+Q92</f>
        <v>1</v>
      </c>
      <c r="V92" s="101">
        <v>2019</v>
      </c>
      <c r="W92" s="4">
        <f t="shared" si="23"/>
        <v>0</v>
      </c>
      <c r="X92" s="4">
        <f t="shared" si="24"/>
        <v>0</v>
      </c>
    </row>
    <row r="93" spans="1:25" ht="25.5">
      <c r="A93" s="31" t="s">
        <v>254</v>
      </c>
      <c r="B93" s="32">
        <v>1</v>
      </c>
      <c r="C93" s="32">
        <v>1</v>
      </c>
      <c r="D93" s="32">
        <v>3</v>
      </c>
      <c r="E93" s="32">
        <v>0</v>
      </c>
      <c r="F93" s="32">
        <v>0</v>
      </c>
      <c r="G93" s="32"/>
      <c r="H93" s="30" t="s">
        <v>296</v>
      </c>
      <c r="I93" s="32" t="s">
        <v>255</v>
      </c>
      <c r="J93" s="68">
        <f aca="true" t="shared" si="29" ref="J93:T93">J94+J95</f>
        <v>178005.5</v>
      </c>
      <c r="K93" s="68">
        <f t="shared" si="29"/>
        <v>195943.3</v>
      </c>
      <c r="L93" s="68">
        <f t="shared" si="29"/>
        <v>238456.7</v>
      </c>
      <c r="M93" s="64">
        <f t="shared" si="29"/>
        <v>340559.8</v>
      </c>
      <c r="N93" s="64">
        <f>N94+N95</f>
        <v>235812.7</v>
      </c>
      <c r="O93" s="64">
        <f t="shared" si="29"/>
        <v>281638.8</v>
      </c>
      <c r="P93" s="64">
        <f>P94+P95</f>
        <v>235812.7</v>
      </c>
      <c r="Q93" s="64">
        <f t="shared" si="29"/>
        <v>280437.3</v>
      </c>
      <c r="R93" s="64">
        <f t="shared" si="29"/>
        <v>309951.4</v>
      </c>
      <c r="S93" s="64">
        <f t="shared" si="29"/>
        <v>309873.7</v>
      </c>
      <c r="T93" s="64">
        <f t="shared" si="29"/>
        <v>309873.7</v>
      </c>
      <c r="U93" s="68">
        <f>J93+K93+L93+M93+O93+Q93+R93+S93+T93</f>
        <v>2444740.2</v>
      </c>
      <c r="V93" s="32">
        <v>2024</v>
      </c>
      <c r="W93" s="4">
        <f t="shared" si="23"/>
        <v>45826.1</v>
      </c>
      <c r="X93" s="4">
        <f t="shared" si="24"/>
        <v>44624.6</v>
      </c>
      <c r="Y93" s="4"/>
    </row>
    <row r="94" spans="1:26" s="7" customFormat="1" ht="12.75">
      <c r="A94" s="33" t="s">
        <v>254</v>
      </c>
      <c r="B94" s="34">
        <v>1</v>
      </c>
      <c r="C94" s="34">
        <v>1</v>
      </c>
      <c r="D94" s="34">
        <v>3</v>
      </c>
      <c r="E94" s="34">
        <v>0</v>
      </c>
      <c r="F94" s="34">
        <v>0</v>
      </c>
      <c r="G94" s="34">
        <v>3</v>
      </c>
      <c r="H94" s="51" t="s">
        <v>256</v>
      </c>
      <c r="I94" s="34" t="s">
        <v>255</v>
      </c>
      <c r="J94" s="53">
        <f>J102+J110</f>
        <v>178005.5</v>
      </c>
      <c r="K94" s="53">
        <f>K102+K110</f>
        <v>189194</v>
      </c>
      <c r="L94" s="53">
        <f aca="true" t="shared" si="30" ref="L94:T94">L102+L110+L114</f>
        <v>209181.3</v>
      </c>
      <c r="M94" s="65">
        <f t="shared" si="30"/>
        <v>264348.2</v>
      </c>
      <c r="N94" s="65">
        <f>N102+N110+N114</f>
        <v>235812.7</v>
      </c>
      <c r="O94" s="65">
        <f t="shared" si="30"/>
        <v>281638.8</v>
      </c>
      <c r="P94" s="65">
        <f>P102+P110+P114</f>
        <v>235812.7</v>
      </c>
      <c r="Q94" s="65">
        <f t="shared" si="30"/>
        <v>280437.3</v>
      </c>
      <c r="R94" s="65">
        <f t="shared" si="30"/>
        <v>309951.4</v>
      </c>
      <c r="S94" s="65">
        <f t="shared" si="30"/>
        <v>309873.7</v>
      </c>
      <c r="T94" s="65">
        <f t="shared" si="30"/>
        <v>309873.7</v>
      </c>
      <c r="U94" s="53">
        <f>J94+K94+L94+M94+O94+Q94+R94+S94+T94</f>
        <v>2332503.9</v>
      </c>
      <c r="V94" s="88">
        <v>2024</v>
      </c>
      <c r="W94" s="4">
        <f t="shared" si="23"/>
        <v>45826.1</v>
      </c>
      <c r="X94" s="4">
        <f t="shared" si="24"/>
        <v>44624.6</v>
      </c>
      <c r="Y94" s="4"/>
      <c r="Z94" s="3"/>
    </row>
    <row r="95" spans="1:26" s="7" customFormat="1" ht="12.75">
      <c r="A95" s="33" t="s">
        <v>254</v>
      </c>
      <c r="B95" s="34">
        <v>1</v>
      </c>
      <c r="C95" s="34">
        <v>1</v>
      </c>
      <c r="D95" s="34">
        <v>3</v>
      </c>
      <c r="E95" s="34">
        <v>0</v>
      </c>
      <c r="F95" s="34">
        <v>0</v>
      </c>
      <c r="G95" s="34">
        <v>2</v>
      </c>
      <c r="H95" s="51" t="s">
        <v>257</v>
      </c>
      <c r="I95" s="34" t="s">
        <v>255</v>
      </c>
      <c r="J95" s="53">
        <v>0</v>
      </c>
      <c r="K95" s="53">
        <f>K103</f>
        <v>6749.3</v>
      </c>
      <c r="L95" s="53">
        <f>L103+L111</f>
        <v>29275.4</v>
      </c>
      <c r="M95" s="65">
        <f aca="true" t="shared" si="31" ref="M95:T95">M115</f>
        <v>76211.6</v>
      </c>
      <c r="N95" s="65">
        <f>N115</f>
        <v>0</v>
      </c>
      <c r="O95" s="65">
        <f t="shared" si="31"/>
        <v>0</v>
      </c>
      <c r="P95" s="65">
        <f>P115</f>
        <v>0</v>
      </c>
      <c r="Q95" s="65">
        <f t="shared" si="31"/>
        <v>0</v>
      </c>
      <c r="R95" s="65">
        <f t="shared" si="31"/>
        <v>0</v>
      </c>
      <c r="S95" s="65">
        <f t="shared" si="31"/>
        <v>0</v>
      </c>
      <c r="T95" s="65">
        <f t="shared" si="31"/>
        <v>0</v>
      </c>
      <c r="U95" s="53">
        <f>J95+K95+L95+M95+O95+Q95+R95+S95+T95</f>
        <v>112236.3</v>
      </c>
      <c r="V95" s="88">
        <v>2019</v>
      </c>
      <c r="W95" s="4">
        <f t="shared" si="23"/>
        <v>0</v>
      </c>
      <c r="X95" s="4">
        <f t="shared" si="24"/>
        <v>0</v>
      </c>
      <c r="Y95" s="4"/>
      <c r="Z95" s="3"/>
    </row>
    <row r="96" spans="1:24" ht="76.5">
      <c r="A96" s="33" t="s">
        <v>254</v>
      </c>
      <c r="B96" s="34">
        <v>1</v>
      </c>
      <c r="C96" s="34">
        <v>1</v>
      </c>
      <c r="D96" s="34">
        <v>3</v>
      </c>
      <c r="E96" s="34">
        <v>0</v>
      </c>
      <c r="F96" s="34">
        <v>0</v>
      </c>
      <c r="G96" s="35"/>
      <c r="H96" s="39" t="s">
        <v>297</v>
      </c>
      <c r="I96" s="35" t="s">
        <v>260</v>
      </c>
      <c r="J96" s="42">
        <v>88</v>
      </c>
      <c r="K96" s="42">
        <v>88.7</v>
      </c>
      <c r="L96" s="42">
        <v>88.7</v>
      </c>
      <c r="M96" s="63">
        <v>88.7</v>
      </c>
      <c r="N96" s="63">
        <v>88.8</v>
      </c>
      <c r="O96" s="41">
        <v>88.8</v>
      </c>
      <c r="P96" s="41">
        <v>88.9</v>
      </c>
      <c r="Q96" s="41">
        <v>88.9</v>
      </c>
      <c r="R96" s="41">
        <v>88.9</v>
      </c>
      <c r="S96" s="41">
        <v>89</v>
      </c>
      <c r="T96" s="41">
        <v>89</v>
      </c>
      <c r="U96" s="42">
        <v>89</v>
      </c>
      <c r="V96" s="90">
        <v>2024</v>
      </c>
      <c r="W96" s="4">
        <f t="shared" si="23"/>
        <v>0</v>
      </c>
      <c r="X96" s="4">
        <f t="shared" si="24"/>
        <v>0</v>
      </c>
    </row>
    <row r="97" spans="1:24" ht="63.75">
      <c r="A97" s="33" t="s">
        <v>254</v>
      </c>
      <c r="B97" s="34">
        <v>1</v>
      </c>
      <c r="C97" s="34">
        <v>1</v>
      </c>
      <c r="D97" s="34">
        <v>3</v>
      </c>
      <c r="E97" s="34">
        <v>0</v>
      </c>
      <c r="F97" s="34">
        <v>0</v>
      </c>
      <c r="G97" s="35"/>
      <c r="H97" s="39" t="s">
        <v>298</v>
      </c>
      <c r="I97" s="35" t="s">
        <v>283</v>
      </c>
      <c r="J97" s="101">
        <v>82</v>
      </c>
      <c r="K97" s="101">
        <v>117</v>
      </c>
      <c r="L97" s="101">
        <v>126</v>
      </c>
      <c r="M97" s="102">
        <v>133</v>
      </c>
      <c r="N97" s="102">
        <v>124</v>
      </c>
      <c r="O97" s="107">
        <v>128</v>
      </c>
      <c r="P97" s="107">
        <v>126</v>
      </c>
      <c r="Q97" s="107">
        <v>130</v>
      </c>
      <c r="R97" s="107">
        <v>131</v>
      </c>
      <c r="S97" s="107">
        <v>131</v>
      </c>
      <c r="T97" s="107">
        <v>131</v>
      </c>
      <c r="U97" s="108">
        <v>131</v>
      </c>
      <c r="V97" s="90">
        <v>2024</v>
      </c>
      <c r="W97" s="4">
        <f t="shared" si="23"/>
        <v>4</v>
      </c>
      <c r="X97" s="4">
        <f t="shared" si="24"/>
        <v>4</v>
      </c>
    </row>
    <row r="98" spans="1:24" ht="76.5">
      <c r="A98" s="33" t="s">
        <v>254</v>
      </c>
      <c r="B98" s="34">
        <v>1</v>
      </c>
      <c r="C98" s="34">
        <v>1</v>
      </c>
      <c r="D98" s="34">
        <v>3</v>
      </c>
      <c r="E98" s="34">
        <v>0</v>
      </c>
      <c r="F98" s="34">
        <v>0</v>
      </c>
      <c r="G98" s="35"/>
      <c r="H98" s="39" t="s">
        <v>299</v>
      </c>
      <c r="I98" s="35" t="s">
        <v>260</v>
      </c>
      <c r="J98" s="96">
        <v>90</v>
      </c>
      <c r="K98" s="96">
        <v>100</v>
      </c>
      <c r="L98" s="96">
        <v>100</v>
      </c>
      <c r="M98" s="100">
        <v>100</v>
      </c>
      <c r="N98" s="100">
        <v>100</v>
      </c>
      <c r="O98" s="66">
        <v>100</v>
      </c>
      <c r="P98" s="66">
        <v>100</v>
      </c>
      <c r="Q98" s="66">
        <v>100</v>
      </c>
      <c r="R98" s="66">
        <v>100</v>
      </c>
      <c r="S98" s="66">
        <v>100</v>
      </c>
      <c r="T98" s="66">
        <v>100</v>
      </c>
      <c r="U98" s="96">
        <v>100</v>
      </c>
      <c r="V98" s="90">
        <v>2024</v>
      </c>
      <c r="W98" s="4">
        <f t="shared" si="23"/>
        <v>0</v>
      </c>
      <c r="X98" s="4">
        <f t="shared" si="24"/>
        <v>0</v>
      </c>
    </row>
    <row r="99" spans="1:24" ht="63.75">
      <c r="A99" s="36" t="s">
        <v>254</v>
      </c>
      <c r="B99" s="37">
        <v>1</v>
      </c>
      <c r="C99" s="37">
        <v>1</v>
      </c>
      <c r="D99" s="37">
        <v>3</v>
      </c>
      <c r="E99" s="37">
        <v>0</v>
      </c>
      <c r="F99" s="37">
        <v>1</v>
      </c>
      <c r="G99" s="38"/>
      <c r="H99" s="43" t="s">
        <v>87</v>
      </c>
      <c r="I99" s="38" t="s">
        <v>279</v>
      </c>
      <c r="J99" s="44" t="s">
        <v>280</v>
      </c>
      <c r="K99" s="44" t="s">
        <v>280</v>
      </c>
      <c r="L99" s="44" t="s">
        <v>280</v>
      </c>
      <c r="M99" s="46" t="s">
        <v>280</v>
      </c>
      <c r="N99" s="46" t="s">
        <v>280</v>
      </c>
      <c r="O99" s="46" t="s">
        <v>280</v>
      </c>
      <c r="P99" s="46" t="s">
        <v>280</v>
      </c>
      <c r="Q99" s="46" t="s">
        <v>280</v>
      </c>
      <c r="R99" s="46" t="s">
        <v>280</v>
      </c>
      <c r="S99" s="46" t="s">
        <v>280</v>
      </c>
      <c r="T99" s="46" t="s">
        <v>280</v>
      </c>
      <c r="U99" s="46" t="s">
        <v>280</v>
      </c>
      <c r="V99" s="38">
        <v>2024</v>
      </c>
      <c r="W99" s="4"/>
      <c r="X99" s="4"/>
    </row>
    <row r="100" spans="1:24" ht="51">
      <c r="A100" s="33" t="s">
        <v>254</v>
      </c>
      <c r="B100" s="34">
        <v>1</v>
      </c>
      <c r="C100" s="34">
        <v>1</v>
      </c>
      <c r="D100" s="34">
        <v>3</v>
      </c>
      <c r="E100" s="34">
        <v>0</v>
      </c>
      <c r="F100" s="34">
        <v>1</v>
      </c>
      <c r="G100" s="35"/>
      <c r="H100" s="39" t="s">
        <v>300</v>
      </c>
      <c r="I100" s="35" t="s">
        <v>260</v>
      </c>
      <c r="J100" s="42">
        <v>100</v>
      </c>
      <c r="K100" s="42">
        <v>100</v>
      </c>
      <c r="L100" s="42">
        <v>100</v>
      </c>
      <c r="M100" s="63">
        <v>100</v>
      </c>
      <c r="N100" s="63">
        <v>100</v>
      </c>
      <c r="O100" s="41">
        <v>100</v>
      </c>
      <c r="P100" s="41">
        <v>100</v>
      </c>
      <c r="Q100" s="41">
        <v>100</v>
      </c>
      <c r="R100" s="41">
        <v>100</v>
      </c>
      <c r="S100" s="41">
        <v>100</v>
      </c>
      <c r="T100" s="41">
        <v>100</v>
      </c>
      <c r="U100" s="42">
        <v>100</v>
      </c>
      <c r="V100" s="90">
        <v>2024</v>
      </c>
      <c r="W100" s="4">
        <f t="shared" si="23"/>
        <v>0</v>
      </c>
      <c r="X100" s="4">
        <f t="shared" si="24"/>
        <v>0</v>
      </c>
    </row>
    <row r="101" spans="1:25" ht="35.25" customHeight="1">
      <c r="A101" s="36" t="s">
        <v>254</v>
      </c>
      <c r="B101" s="37">
        <v>1</v>
      </c>
      <c r="C101" s="37">
        <v>1</v>
      </c>
      <c r="D101" s="37">
        <v>3</v>
      </c>
      <c r="E101" s="37">
        <v>0</v>
      </c>
      <c r="F101" s="37">
        <v>2</v>
      </c>
      <c r="G101" s="37"/>
      <c r="H101" s="49" t="s">
        <v>384</v>
      </c>
      <c r="I101" s="38" t="s">
        <v>255</v>
      </c>
      <c r="J101" s="45">
        <f aca="true" t="shared" si="32" ref="J101:T101">J102+J103</f>
        <v>175812.2</v>
      </c>
      <c r="K101" s="45">
        <f t="shared" si="32"/>
        <v>192398.1</v>
      </c>
      <c r="L101" s="45">
        <f t="shared" si="32"/>
        <v>229582.1</v>
      </c>
      <c r="M101" s="50">
        <f t="shared" si="32"/>
        <v>255851.4</v>
      </c>
      <c r="N101" s="50">
        <f t="shared" si="32"/>
        <v>228842.7</v>
      </c>
      <c r="O101" s="50">
        <f t="shared" si="32"/>
        <v>269804.1</v>
      </c>
      <c r="P101" s="50">
        <f t="shared" si="32"/>
        <v>228842.7</v>
      </c>
      <c r="Q101" s="50">
        <f t="shared" si="32"/>
        <v>269655.9</v>
      </c>
      <c r="R101" s="50">
        <f t="shared" si="32"/>
        <v>299170</v>
      </c>
      <c r="S101" s="50">
        <f t="shared" si="32"/>
        <v>299092.3</v>
      </c>
      <c r="T101" s="50">
        <f t="shared" si="32"/>
        <v>299092.3</v>
      </c>
      <c r="U101" s="45">
        <f>J101+K101+L101+M101+O101+Q101+R101+S101+T101</f>
        <v>2290458.4</v>
      </c>
      <c r="V101" s="37">
        <v>2024</v>
      </c>
      <c r="W101" s="4">
        <f t="shared" si="23"/>
        <v>40961.4</v>
      </c>
      <c r="X101" s="4">
        <f t="shared" si="24"/>
        <v>40813.2</v>
      </c>
      <c r="Y101" s="4"/>
    </row>
    <row r="102" spans="1:26" s="7" customFormat="1" ht="12.75">
      <c r="A102" s="33" t="s">
        <v>254</v>
      </c>
      <c r="B102" s="34">
        <v>1</v>
      </c>
      <c r="C102" s="34">
        <v>1</v>
      </c>
      <c r="D102" s="34">
        <v>3</v>
      </c>
      <c r="E102" s="34">
        <v>0</v>
      </c>
      <c r="F102" s="34">
        <v>2</v>
      </c>
      <c r="G102" s="34">
        <v>3</v>
      </c>
      <c r="H102" s="51" t="s">
        <v>256</v>
      </c>
      <c r="I102" s="34" t="s">
        <v>255</v>
      </c>
      <c r="J102" s="53">
        <f>189072.3-11566.7+176.3-1869.7</f>
        <v>175812.2</v>
      </c>
      <c r="K102" s="53">
        <f>185648.9-0.06</f>
        <v>185648.8</v>
      </c>
      <c r="L102" s="53">
        <v>202256.7</v>
      </c>
      <c r="M102" s="65">
        <v>255851.4</v>
      </c>
      <c r="N102" s="65">
        <v>228842.7</v>
      </c>
      <c r="O102" s="67">
        <f>269729+75.1</f>
        <v>269804.1</v>
      </c>
      <c r="P102" s="67">
        <v>228842.7</v>
      </c>
      <c r="Q102" s="67">
        <f>269579.9+76</f>
        <v>269655.9</v>
      </c>
      <c r="R102" s="67">
        <f>299092.3+77.7</f>
        <v>299170</v>
      </c>
      <c r="S102" s="67">
        <v>299092.3</v>
      </c>
      <c r="T102" s="67">
        <v>299092.3</v>
      </c>
      <c r="U102" s="53">
        <f>J102+K102+L102+M102+O102+Q102+R102+S102+T102</f>
        <v>2256383.7</v>
      </c>
      <c r="V102" s="88">
        <v>2024</v>
      </c>
      <c r="W102" s="4">
        <f t="shared" si="23"/>
        <v>40961.4</v>
      </c>
      <c r="X102" s="4">
        <f t="shared" si="24"/>
        <v>40813.2</v>
      </c>
      <c r="Y102" s="4"/>
      <c r="Z102" s="3"/>
    </row>
    <row r="103" spans="1:26" s="7" customFormat="1" ht="12.75">
      <c r="A103" s="33" t="s">
        <v>254</v>
      </c>
      <c r="B103" s="34">
        <v>1</v>
      </c>
      <c r="C103" s="34">
        <v>1</v>
      </c>
      <c r="D103" s="34">
        <v>3</v>
      </c>
      <c r="E103" s="34">
        <v>0</v>
      </c>
      <c r="F103" s="34">
        <v>2</v>
      </c>
      <c r="G103" s="34">
        <v>2</v>
      </c>
      <c r="H103" s="51" t="s">
        <v>257</v>
      </c>
      <c r="I103" s="34" t="s">
        <v>255</v>
      </c>
      <c r="J103" s="53">
        <v>0</v>
      </c>
      <c r="K103" s="53">
        <v>6749.3</v>
      </c>
      <c r="L103" s="53">
        <v>27325.4</v>
      </c>
      <c r="M103" s="65">
        <v>0</v>
      </c>
      <c r="N103" s="65">
        <v>0</v>
      </c>
      <c r="O103" s="67">
        <v>0</v>
      </c>
      <c r="P103" s="67">
        <v>0</v>
      </c>
      <c r="Q103" s="67">
        <v>0</v>
      </c>
      <c r="R103" s="65">
        <v>0</v>
      </c>
      <c r="S103" s="65">
        <v>0</v>
      </c>
      <c r="T103" s="65">
        <v>0</v>
      </c>
      <c r="U103" s="53">
        <f>J103+K103+L103+M103+O103+Q103+R103+S103+T103</f>
        <v>34074.7</v>
      </c>
      <c r="V103" s="88">
        <v>2018</v>
      </c>
      <c r="W103" s="4">
        <f t="shared" si="23"/>
        <v>0</v>
      </c>
      <c r="X103" s="4">
        <f t="shared" si="24"/>
        <v>0</v>
      </c>
      <c r="Y103" s="4"/>
      <c r="Z103" s="3"/>
    </row>
    <row r="104" spans="1:24" ht="51">
      <c r="A104" s="33" t="s">
        <v>254</v>
      </c>
      <c r="B104" s="34">
        <v>1</v>
      </c>
      <c r="C104" s="34">
        <v>1</v>
      </c>
      <c r="D104" s="34">
        <v>3</v>
      </c>
      <c r="E104" s="34">
        <v>0</v>
      </c>
      <c r="F104" s="34">
        <v>2</v>
      </c>
      <c r="G104" s="35"/>
      <c r="H104" s="39" t="s">
        <v>301</v>
      </c>
      <c r="I104" s="35" t="s">
        <v>208</v>
      </c>
      <c r="J104" s="48">
        <v>1971529</v>
      </c>
      <c r="K104" s="48">
        <f>1971529+228097+14685+6257</f>
        <v>2220568</v>
      </c>
      <c r="L104" s="48">
        <v>2655571</v>
      </c>
      <c r="M104" s="97">
        <v>2264470</v>
      </c>
      <c r="N104" s="97">
        <v>2177834</v>
      </c>
      <c r="O104" s="58">
        <v>2329796</v>
      </c>
      <c r="P104" s="58">
        <v>2177834</v>
      </c>
      <c r="Q104" s="58">
        <v>2329796</v>
      </c>
      <c r="R104" s="58">
        <v>2329796</v>
      </c>
      <c r="S104" s="58">
        <v>2329796</v>
      </c>
      <c r="T104" s="58">
        <v>2329796</v>
      </c>
      <c r="U104" s="48">
        <f>(J104+K104+L104+M104+O104+Q104+R104+S104+T104)/9</f>
        <v>2306791</v>
      </c>
      <c r="V104" s="90">
        <v>2024</v>
      </c>
      <c r="W104" s="4">
        <f t="shared" si="23"/>
        <v>151962</v>
      </c>
      <c r="X104" s="4">
        <f t="shared" si="24"/>
        <v>151962</v>
      </c>
    </row>
    <row r="105" spans="1:24" ht="63.75">
      <c r="A105" s="33" t="s">
        <v>254</v>
      </c>
      <c r="B105" s="34">
        <v>1</v>
      </c>
      <c r="C105" s="34">
        <v>1</v>
      </c>
      <c r="D105" s="34">
        <v>3</v>
      </c>
      <c r="E105" s="34">
        <v>0</v>
      </c>
      <c r="F105" s="34">
        <v>2</v>
      </c>
      <c r="G105" s="35"/>
      <c r="H105" s="39" t="s">
        <v>111</v>
      </c>
      <c r="I105" s="35" t="s">
        <v>260</v>
      </c>
      <c r="J105" s="96">
        <f>J102/J9*100</f>
        <v>15.9</v>
      </c>
      <c r="K105" s="96">
        <f>K102/K10*100</f>
        <v>8.8</v>
      </c>
      <c r="L105" s="96">
        <f>L102/L9*100</f>
        <v>14.5</v>
      </c>
      <c r="M105" s="66">
        <v>14.7</v>
      </c>
      <c r="N105" s="66">
        <v>16.3</v>
      </c>
      <c r="O105" s="80">
        <f>O102/O9*100</f>
        <v>16.8</v>
      </c>
      <c r="P105" s="80">
        <v>16.2</v>
      </c>
      <c r="Q105" s="80">
        <f>Q102/Q9*100</f>
        <v>17.2</v>
      </c>
      <c r="R105" s="80">
        <f>R102/R9*100</f>
        <v>18.4</v>
      </c>
      <c r="S105" s="80">
        <f>S102/S9*100</f>
        <v>18.4</v>
      </c>
      <c r="T105" s="80">
        <f>T102/T9*100</f>
        <v>18.4</v>
      </c>
      <c r="U105" s="96">
        <f>U102/U9*100</f>
        <v>16.7</v>
      </c>
      <c r="V105" s="90">
        <v>2024</v>
      </c>
      <c r="W105" s="4">
        <f t="shared" si="23"/>
        <v>0.5</v>
      </c>
      <c r="X105" s="4">
        <f t="shared" si="24"/>
        <v>1</v>
      </c>
    </row>
    <row r="106" spans="1:24" ht="51">
      <c r="A106" s="34" t="s">
        <v>254</v>
      </c>
      <c r="B106" s="34">
        <v>1</v>
      </c>
      <c r="C106" s="34">
        <v>1</v>
      </c>
      <c r="D106" s="34">
        <v>3</v>
      </c>
      <c r="E106" s="34">
        <v>0</v>
      </c>
      <c r="F106" s="34">
        <v>2</v>
      </c>
      <c r="G106" s="171"/>
      <c r="H106" s="172" t="s">
        <v>205</v>
      </c>
      <c r="I106" s="171" t="s">
        <v>206</v>
      </c>
      <c r="J106" s="42">
        <v>0</v>
      </c>
      <c r="K106" s="42">
        <v>36066</v>
      </c>
      <c r="L106" s="42">
        <v>42098.7</v>
      </c>
      <c r="M106" s="63">
        <v>45742</v>
      </c>
      <c r="N106" s="63">
        <v>45742</v>
      </c>
      <c r="O106" s="63">
        <v>45742</v>
      </c>
      <c r="P106" s="63">
        <v>45742</v>
      </c>
      <c r="Q106" s="63">
        <v>45742</v>
      </c>
      <c r="R106" s="63">
        <v>45742</v>
      </c>
      <c r="S106" s="63">
        <v>45742</v>
      </c>
      <c r="T106" s="63">
        <v>45742</v>
      </c>
      <c r="U106" s="41">
        <v>42744.7</v>
      </c>
      <c r="V106" s="90">
        <v>2024</v>
      </c>
      <c r="W106" s="4">
        <f>O106-N106</f>
        <v>0</v>
      </c>
      <c r="X106" s="4">
        <f t="shared" si="24"/>
        <v>0</v>
      </c>
    </row>
    <row r="107" spans="1:24" ht="63.75">
      <c r="A107" s="33" t="s">
        <v>254</v>
      </c>
      <c r="B107" s="34">
        <v>1</v>
      </c>
      <c r="C107" s="34">
        <v>1</v>
      </c>
      <c r="D107" s="34">
        <v>3</v>
      </c>
      <c r="E107" s="34">
        <v>0</v>
      </c>
      <c r="F107" s="34">
        <v>2</v>
      </c>
      <c r="G107" s="35"/>
      <c r="H107" s="39" t="s">
        <v>129</v>
      </c>
      <c r="I107" s="35" t="s">
        <v>283</v>
      </c>
      <c r="J107" s="104">
        <v>0</v>
      </c>
      <c r="K107" s="48">
        <v>0</v>
      </c>
      <c r="L107" s="48">
        <v>115</v>
      </c>
      <c r="M107" s="105">
        <v>111</v>
      </c>
      <c r="N107" s="105">
        <v>104</v>
      </c>
      <c r="O107" s="74">
        <v>111</v>
      </c>
      <c r="P107" s="74">
        <v>104</v>
      </c>
      <c r="Q107" s="74">
        <v>111</v>
      </c>
      <c r="R107" s="74">
        <v>111</v>
      </c>
      <c r="S107" s="74">
        <v>111</v>
      </c>
      <c r="T107" s="74">
        <v>111</v>
      </c>
      <c r="U107" s="48">
        <f>J107+K107+L107+M107+O107+Q107+R107+S107+T107</f>
        <v>781</v>
      </c>
      <c r="V107" s="90">
        <v>2024</v>
      </c>
      <c r="W107" s="4">
        <f t="shared" si="23"/>
        <v>7</v>
      </c>
      <c r="X107" s="4">
        <f t="shared" si="24"/>
        <v>7</v>
      </c>
    </row>
    <row r="108" spans="1:26" s="29" customFormat="1" ht="25.5">
      <c r="A108" s="173" t="s">
        <v>254</v>
      </c>
      <c r="B108" s="174">
        <v>1</v>
      </c>
      <c r="C108" s="174">
        <v>1</v>
      </c>
      <c r="D108" s="174">
        <v>3</v>
      </c>
      <c r="E108" s="174">
        <v>0</v>
      </c>
      <c r="F108" s="174">
        <v>2</v>
      </c>
      <c r="G108" s="110"/>
      <c r="H108" s="175" t="s">
        <v>114</v>
      </c>
      <c r="I108" s="110" t="s">
        <v>283</v>
      </c>
      <c r="J108" s="109">
        <v>0</v>
      </c>
      <c r="K108" s="58">
        <v>0</v>
      </c>
      <c r="L108" s="58">
        <v>0</v>
      </c>
      <c r="M108" s="109">
        <v>0</v>
      </c>
      <c r="N108" s="109">
        <v>0</v>
      </c>
      <c r="O108" s="109">
        <v>163</v>
      </c>
      <c r="P108" s="109">
        <v>0</v>
      </c>
      <c r="Q108" s="109">
        <v>163</v>
      </c>
      <c r="R108" s="109">
        <v>163</v>
      </c>
      <c r="S108" s="109">
        <v>163</v>
      </c>
      <c r="T108" s="109">
        <v>163</v>
      </c>
      <c r="U108" s="58">
        <f>J108+K108+L108+M108+O108+Q108+R108+S108+T108</f>
        <v>815</v>
      </c>
      <c r="V108" s="110">
        <v>2024</v>
      </c>
      <c r="W108" s="4">
        <f t="shared" si="23"/>
        <v>163</v>
      </c>
      <c r="X108" s="4">
        <f t="shared" si="24"/>
        <v>163</v>
      </c>
      <c r="Y108" s="28"/>
      <c r="Z108" s="28"/>
    </row>
    <row r="109" spans="1:26" s="7" customFormat="1" ht="76.5">
      <c r="A109" s="36" t="s">
        <v>254</v>
      </c>
      <c r="B109" s="37">
        <v>1</v>
      </c>
      <c r="C109" s="37">
        <v>1</v>
      </c>
      <c r="D109" s="37">
        <v>3</v>
      </c>
      <c r="E109" s="37">
        <v>0</v>
      </c>
      <c r="F109" s="37">
        <v>3</v>
      </c>
      <c r="G109" s="37">
        <v>3</v>
      </c>
      <c r="H109" s="49" t="s">
        <v>385</v>
      </c>
      <c r="I109" s="37" t="s">
        <v>255</v>
      </c>
      <c r="J109" s="45">
        <f>J110</f>
        <v>2193.3</v>
      </c>
      <c r="K109" s="45">
        <f>K110</f>
        <v>3545.2</v>
      </c>
      <c r="L109" s="45">
        <f aca="true" t="shared" si="33" ref="L109:T109">L110+L111</f>
        <v>4830.9</v>
      </c>
      <c r="M109" s="50">
        <f t="shared" si="33"/>
        <v>6935.8</v>
      </c>
      <c r="N109" s="50">
        <f t="shared" si="33"/>
        <v>5409</v>
      </c>
      <c r="O109" s="50">
        <f t="shared" si="33"/>
        <v>7248.3</v>
      </c>
      <c r="P109" s="50">
        <f t="shared" si="33"/>
        <v>5409</v>
      </c>
      <c r="Q109" s="50">
        <f t="shared" si="33"/>
        <v>7723.9</v>
      </c>
      <c r="R109" s="50">
        <f t="shared" si="33"/>
        <v>7723.9</v>
      </c>
      <c r="S109" s="50">
        <f t="shared" si="33"/>
        <v>7723.9</v>
      </c>
      <c r="T109" s="50">
        <f t="shared" si="33"/>
        <v>7723.9</v>
      </c>
      <c r="U109" s="45">
        <f>J109+K109+L109+M109+O109+Q109+R109+S109+T109</f>
        <v>55649.1</v>
      </c>
      <c r="V109" s="37">
        <v>2024</v>
      </c>
      <c r="W109" s="4">
        <f t="shared" si="23"/>
        <v>1839.3</v>
      </c>
      <c r="X109" s="4">
        <f t="shared" si="24"/>
        <v>2314.9</v>
      </c>
      <c r="Y109" s="4"/>
      <c r="Z109" s="3"/>
    </row>
    <row r="110" spans="1:26" s="7" customFormat="1" ht="12.75">
      <c r="A110" s="33" t="s">
        <v>254</v>
      </c>
      <c r="B110" s="34">
        <v>1</v>
      </c>
      <c r="C110" s="34">
        <v>1</v>
      </c>
      <c r="D110" s="34">
        <v>3</v>
      </c>
      <c r="E110" s="34">
        <v>0</v>
      </c>
      <c r="F110" s="34">
        <v>3</v>
      </c>
      <c r="G110" s="34">
        <v>3</v>
      </c>
      <c r="H110" s="51" t="s">
        <v>256</v>
      </c>
      <c r="I110" s="34" t="s">
        <v>255</v>
      </c>
      <c r="J110" s="53">
        <f>3678.2-1484.9</f>
        <v>2193.3</v>
      </c>
      <c r="K110" s="53">
        <v>3545.2</v>
      </c>
      <c r="L110" s="53">
        <v>2880.9</v>
      </c>
      <c r="M110" s="65">
        <v>6935.8</v>
      </c>
      <c r="N110" s="65">
        <v>5409</v>
      </c>
      <c r="O110" s="67">
        <v>7248.3</v>
      </c>
      <c r="P110" s="67">
        <v>5409</v>
      </c>
      <c r="Q110" s="67">
        <v>7723.9</v>
      </c>
      <c r="R110" s="65">
        <v>7723.9</v>
      </c>
      <c r="S110" s="65">
        <v>7723.9</v>
      </c>
      <c r="T110" s="65">
        <v>7723.9</v>
      </c>
      <c r="U110" s="53">
        <f>J110+K110+L110+M110+O110+Q110+R110+T110+S110</f>
        <v>53699.1</v>
      </c>
      <c r="V110" s="88">
        <v>2024</v>
      </c>
      <c r="W110" s="4">
        <f t="shared" si="23"/>
        <v>1839.3</v>
      </c>
      <c r="X110" s="4">
        <f t="shared" si="24"/>
        <v>2314.9</v>
      </c>
      <c r="Y110" s="4"/>
      <c r="Z110" s="3"/>
    </row>
    <row r="111" spans="1:26" s="7" customFormat="1" ht="12.75">
      <c r="A111" s="33"/>
      <c r="B111" s="34"/>
      <c r="C111" s="34"/>
      <c r="D111" s="34"/>
      <c r="E111" s="34"/>
      <c r="F111" s="34"/>
      <c r="G111" s="34"/>
      <c r="H111" s="51" t="s">
        <v>257</v>
      </c>
      <c r="I111" s="34" t="s">
        <v>255</v>
      </c>
      <c r="J111" s="53">
        <v>0</v>
      </c>
      <c r="K111" s="53">
        <v>0</v>
      </c>
      <c r="L111" s="53">
        <v>1950</v>
      </c>
      <c r="M111" s="65">
        <v>0</v>
      </c>
      <c r="N111" s="65">
        <v>0</v>
      </c>
      <c r="O111" s="67">
        <v>0</v>
      </c>
      <c r="P111" s="67">
        <v>0</v>
      </c>
      <c r="Q111" s="67">
        <v>0</v>
      </c>
      <c r="R111" s="65">
        <v>0</v>
      </c>
      <c r="S111" s="65">
        <v>0</v>
      </c>
      <c r="T111" s="65">
        <v>0</v>
      </c>
      <c r="U111" s="53">
        <f>J111+K111+L111+M111+O111+Q111+R111+S111+T111</f>
        <v>1950</v>
      </c>
      <c r="V111" s="88">
        <v>2018</v>
      </c>
      <c r="W111" s="4">
        <f t="shared" si="23"/>
        <v>0</v>
      </c>
      <c r="X111" s="4">
        <f t="shared" si="24"/>
        <v>0</v>
      </c>
      <c r="Y111" s="4"/>
      <c r="Z111" s="3"/>
    </row>
    <row r="112" spans="1:24" ht="51">
      <c r="A112" s="33" t="s">
        <v>254</v>
      </c>
      <c r="B112" s="34">
        <v>1</v>
      </c>
      <c r="C112" s="34">
        <v>1</v>
      </c>
      <c r="D112" s="34">
        <v>3</v>
      </c>
      <c r="E112" s="34">
        <v>0</v>
      </c>
      <c r="F112" s="34">
        <v>3</v>
      </c>
      <c r="G112" s="35"/>
      <c r="H112" s="39" t="s">
        <v>302</v>
      </c>
      <c r="I112" s="35" t="s">
        <v>294</v>
      </c>
      <c r="J112" s="48">
        <v>7</v>
      </c>
      <c r="K112" s="48">
        <v>7</v>
      </c>
      <c r="L112" s="48">
        <v>7</v>
      </c>
      <c r="M112" s="97">
        <v>6</v>
      </c>
      <c r="N112" s="97">
        <v>6</v>
      </c>
      <c r="O112" s="58">
        <v>5</v>
      </c>
      <c r="P112" s="58">
        <v>6</v>
      </c>
      <c r="Q112" s="70">
        <v>6</v>
      </c>
      <c r="R112" s="97">
        <v>6</v>
      </c>
      <c r="S112" s="97">
        <v>6</v>
      </c>
      <c r="T112" s="97">
        <v>6</v>
      </c>
      <c r="U112" s="48">
        <v>6</v>
      </c>
      <c r="V112" s="90">
        <v>2024</v>
      </c>
      <c r="W112" s="4">
        <f t="shared" si="23"/>
        <v>-1</v>
      </c>
      <c r="X112" s="4">
        <f t="shared" si="24"/>
        <v>0</v>
      </c>
    </row>
    <row r="113" spans="1:26" s="7" customFormat="1" ht="51">
      <c r="A113" s="36" t="s">
        <v>254</v>
      </c>
      <c r="B113" s="37">
        <v>1</v>
      </c>
      <c r="C113" s="37">
        <v>1</v>
      </c>
      <c r="D113" s="37">
        <v>3</v>
      </c>
      <c r="E113" s="37">
        <v>0</v>
      </c>
      <c r="F113" s="37">
        <v>4</v>
      </c>
      <c r="G113" s="37">
        <v>3</v>
      </c>
      <c r="H113" s="49" t="s">
        <v>386</v>
      </c>
      <c r="I113" s="37" t="s">
        <v>255</v>
      </c>
      <c r="J113" s="45">
        <f aca="true" t="shared" si="34" ref="J113:T113">J114+J115</f>
        <v>0</v>
      </c>
      <c r="K113" s="45">
        <f t="shared" si="34"/>
        <v>0</v>
      </c>
      <c r="L113" s="45">
        <f t="shared" si="34"/>
        <v>4043.7</v>
      </c>
      <c r="M113" s="45">
        <f t="shared" si="34"/>
        <v>77772.6</v>
      </c>
      <c r="N113" s="45">
        <f t="shared" si="34"/>
        <v>1561</v>
      </c>
      <c r="O113" s="45">
        <f t="shared" si="34"/>
        <v>4586.4</v>
      </c>
      <c r="P113" s="45">
        <f t="shared" si="34"/>
        <v>1561</v>
      </c>
      <c r="Q113" s="45">
        <f t="shared" si="34"/>
        <v>3057.5</v>
      </c>
      <c r="R113" s="45">
        <f t="shared" si="34"/>
        <v>3057.5</v>
      </c>
      <c r="S113" s="45">
        <f t="shared" si="34"/>
        <v>3057.5</v>
      </c>
      <c r="T113" s="45">
        <f t="shared" si="34"/>
        <v>3057.5</v>
      </c>
      <c r="U113" s="45">
        <f>J113+K113+L113+M113+O113+Q113+R113+S113+T113</f>
        <v>98632.7</v>
      </c>
      <c r="V113" s="37">
        <v>2024</v>
      </c>
      <c r="W113" s="4">
        <f t="shared" si="23"/>
        <v>3025.4</v>
      </c>
      <c r="X113" s="4">
        <f t="shared" si="24"/>
        <v>1496.5</v>
      </c>
      <c r="Y113" s="4"/>
      <c r="Z113" s="3"/>
    </row>
    <row r="114" spans="1:26" s="7" customFormat="1" ht="12.75">
      <c r="A114" s="33" t="s">
        <v>254</v>
      </c>
      <c r="B114" s="34">
        <v>1</v>
      </c>
      <c r="C114" s="34">
        <v>1</v>
      </c>
      <c r="D114" s="34">
        <v>3</v>
      </c>
      <c r="E114" s="34">
        <v>0</v>
      </c>
      <c r="F114" s="34">
        <v>4</v>
      </c>
      <c r="G114" s="34">
        <v>3</v>
      </c>
      <c r="H114" s="51" t="s">
        <v>256</v>
      </c>
      <c r="I114" s="34" t="s">
        <v>255</v>
      </c>
      <c r="J114" s="53">
        <v>0</v>
      </c>
      <c r="K114" s="53">
        <v>0</v>
      </c>
      <c r="L114" s="53">
        <v>4043.7</v>
      </c>
      <c r="M114" s="65">
        <v>1561</v>
      </c>
      <c r="N114" s="65">
        <v>1561</v>
      </c>
      <c r="O114" s="67">
        <f>3057.5+1528.9</f>
        <v>4586.4</v>
      </c>
      <c r="P114" s="67">
        <v>1561</v>
      </c>
      <c r="Q114" s="67">
        <v>3057.5</v>
      </c>
      <c r="R114" s="65">
        <v>3057.5</v>
      </c>
      <c r="S114" s="65">
        <v>3057.5</v>
      </c>
      <c r="T114" s="65">
        <v>3057.5</v>
      </c>
      <c r="U114" s="52">
        <f>J114+K114+L114+M114+O114+Q114+R114+S114+T114</f>
        <v>22421.1</v>
      </c>
      <c r="V114" s="88">
        <v>2024</v>
      </c>
      <c r="W114" s="4">
        <f t="shared" si="23"/>
        <v>3025.4</v>
      </c>
      <c r="X114" s="4">
        <f t="shared" si="24"/>
        <v>1496.5</v>
      </c>
      <c r="Y114" s="4"/>
      <c r="Z114" s="3"/>
    </row>
    <row r="115" spans="1:26" s="7" customFormat="1" ht="12.75">
      <c r="A115" s="33"/>
      <c r="B115" s="34"/>
      <c r="C115" s="34"/>
      <c r="D115" s="34"/>
      <c r="E115" s="34"/>
      <c r="F115" s="34"/>
      <c r="G115" s="34"/>
      <c r="H115" s="51" t="s">
        <v>257</v>
      </c>
      <c r="I115" s="34" t="s">
        <v>255</v>
      </c>
      <c r="J115" s="53">
        <v>0</v>
      </c>
      <c r="K115" s="53">
        <v>0</v>
      </c>
      <c r="L115" s="53">
        <v>0</v>
      </c>
      <c r="M115" s="65">
        <v>76211.6</v>
      </c>
      <c r="N115" s="65">
        <v>0</v>
      </c>
      <c r="O115" s="67">
        <v>0</v>
      </c>
      <c r="P115" s="67">
        <v>0</v>
      </c>
      <c r="Q115" s="67">
        <v>0</v>
      </c>
      <c r="R115" s="65">
        <v>0</v>
      </c>
      <c r="S115" s="65">
        <v>0</v>
      </c>
      <c r="T115" s="65">
        <v>0</v>
      </c>
      <c r="U115" s="52">
        <f>J115+K115+L115+M115+O115+Q115+R115+S115+T115</f>
        <v>76211.6</v>
      </c>
      <c r="V115" s="34">
        <v>2019</v>
      </c>
      <c r="W115" s="4">
        <f t="shared" si="23"/>
        <v>0</v>
      </c>
      <c r="X115" s="4">
        <f t="shared" si="24"/>
        <v>0</v>
      </c>
      <c r="Y115" s="4"/>
      <c r="Z115" s="3"/>
    </row>
    <row r="116" spans="1:24" ht="63.75">
      <c r="A116" s="33" t="s">
        <v>254</v>
      </c>
      <c r="B116" s="34">
        <v>1</v>
      </c>
      <c r="C116" s="34">
        <v>1</v>
      </c>
      <c r="D116" s="34">
        <v>3</v>
      </c>
      <c r="E116" s="34">
        <v>0</v>
      </c>
      <c r="F116" s="34">
        <v>4</v>
      </c>
      <c r="G116" s="34"/>
      <c r="H116" s="39" t="s">
        <v>144</v>
      </c>
      <c r="I116" s="35" t="s">
        <v>260</v>
      </c>
      <c r="J116" s="42">
        <v>0</v>
      </c>
      <c r="K116" s="42">
        <v>0</v>
      </c>
      <c r="L116" s="42">
        <v>10</v>
      </c>
      <c r="M116" s="41">
        <v>14.3</v>
      </c>
      <c r="N116" s="41">
        <v>10</v>
      </c>
      <c r="O116" s="56">
        <v>56.3</v>
      </c>
      <c r="P116" s="56">
        <v>10</v>
      </c>
      <c r="Q116" s="56">
        <v>62.5</v>
      </c>
      <c r="R116" s="56">
        <v>68.8</v>
      </c>
      <c r="S116" s="56">
        <v>81.3</v>
      </c>
      <c r="T116" s="56">
        <v>100</v>
      </c>
      <c r="U116" s="56">
        <v>100</v>
      </c>
      <c r="V116" s="90">
        <v>2024</v>
      </c>
      <c r="W116" s="4">
        <f t="shared" si="23"/>
        <v>46.3</v>
      </c>
      <c r="X116" s="4">
        <f t="shared" si="24"/>
        <v>52.5</v>
      </c>
    </row>
    <row r="117" spans="1:24" ht="51">
      <c r="A117" s="33" t="s">
        <v>254</v>
      </c>
      <c r="B117" s="34">
        <v>1</v>
      </c>
      <c r="C117" s="34">
        <v>1</v>
      </c>
      <c r="D117" s="34">
        <v>3</v>
      </c>
      <c r="E117" s="34">
        <v>0</v>
      </c>
      <c r="F117" s="34">
        <v>4</v>
      </c>
      <c r="G117" s="34"/>
      <c r="H117" s="39" t="s">
        <v>52</v>
      </c>
      <c r="I117" s="35" t="s">
        <v>294</v>
      </c>
      <c r="J117" s="48">
        <v>0</v>
      </c>
      <c r="K117" s="48">
        <v>0</v>
      </c>
      <c r="L117" s="48">
        <v>5</v>
      </c>
      <c r="M117" s="97">
        <v>1</v>
      </c>
      <c r="N117" s="97">
        <v>1</v>
      </c>
      <c r="O117" s="58">
        <v>1</v>
      </c>
      <c r="P117" s="58">
        <v>1</v>
      </c>
      <c r="Q117" s="58">
        <v>1</v>
      </c>
      <c r="R117" s="58">
        <v>1</v>
      </c>
      <c r="S117" s="58">
        <v>1</v>
      </c>
      <c r="T117" s="58">
        <v>1</v>
      </c>
      <c r="U117" s="58">
        <v>1</v>
      </c>
      <c r="V117" s="90">
        <v>2024</v>
      </c>
      <c r="W117" s="4">
        <f t="shared" si="23"/>
        <v>0</v>
      </c>
      <c r="X117" s="4">
        <f t="shared" si="24"/>
        <v>0</v>
      </c>
    </row>
    <row r="118" spans="1:24" ht="102">
      <c r="A118" s="33" t="s">
        <v>254</v>
      </c>
      <c r="B118" s="34">
        <v>1</v>
      </c>
      <c r="C118" s="34">
        <v>1</v>
      </c>
      <c r="D118" s="34">
        <v>3</v>
      </c>
      <c r="E118" s="34">
        <v>0</v>
      </c>
      <c r="F118" s="34">
        <v>4</v>
      </c>
      <c r="G118" s="34"/>
      <c r="H118" s="39" t="s">
        <v>223</v>
      </c>
      <c r="I118" s="35" t="s">
        <v>224</v>
      </c>
      <c r="J118" s="48">
        <v>0</v>
      </c>
      <c r="K118" s="48">
        <v>0</v>
      </c>
      <c r="L118" s="48">
        <v>0</v>
      </c>
      <c r="M118" s="97">
        <v>800</v>
      </c>
      <c r="N118" s="97">
        <v>0</v>
      </c>
      <c r="O118" s="58">
        <v>900</v>
      </c>
      <c r="P118" s="58">
        <v>0</v>
      </c>
      <c r="Q118" s="58">
        <v>1000</v>
      </c>
      <c r="R118" s="58">
        <v>1100</v>
      </c>
      <c r="S118" s="58">
        <v>1300</v>
      </c>
      <c r="T118" s="58">
        <v>1600</v>
      </c>
      <c r="U118" s="58">
        <f>J118+K118+L118+M118+O118+Q118+R118+S118+T118</f>
        <v>6700</v>
      </c>
      <c r="V118" s="90">
        <v>2024</v>
      </c>
      <c r="W118" s="4">
        <f t="shared" si="23"/>
        <v>900</v>
      </c>
      <c r="X118" s="4">
        <f t="shared" si="24"/>
        <v>1000</v>
      </c>
    </row>
    <row r="119" spans="1:26" s="7" customFormat="1" ht="25.5">
      <c r="A119" s="31" t="s">
        <v>254</v>
      </c>
      <c r="B119" s="32">
        <v>1</v>
      </c>
      <c r="C119" s="32">
        <v>1</v>
      </c>
      <c r="D119" s="32">
        <v>4</v>
      </c>
      <c r="E119" s="32">
        <v>0</v>
      </c>
      <c r="F119" s="32">
        <v>0</v>
      </c>
      <c r="G119" s="32"/>
      <c r="H119" s="30" t="s">
        <v>303</v>
      </c>
      <c r="I119" s="32" t="s">
        <v>255</v>
      </c>
      <c r="J119" s="68">
        <f aca="true" t="shared" si="35" ref="J119:T119">J120</f>
        <v>2671</v>
      </c>
      <c r="K119" s="68">
        <f t="shared" si="35"/>
        <v>2745.5</v>
      </c>
      <c r="L119" s="68">
        <f t="shared" si="35"/>
        <v>2449.1</v>
      </c>
      <c r="M119" s="64">
        <f t="shared" si="35"/>
        <v>3503.8</v>
      </c>
      <c r="N119" s="64">
        <f t="shared" si="35"/>
        <v>3484.8</v>
      </c>
      <c r="O119" s="64">
        <f t="shared" si="35"/>
        <v>4756.7</v>
      </c>
      <c r="P119" s="64">
        <f t="shared" si="35"/>
        <v>3484.8</v>
      </c>
      <c r="Q119" s="64">
        <f t="shared" si="35"/>
        <v>4756.7</v>
      </c>
      <c r="R119" s="64">
        <f t="shared" si="35"/>
        <v>4756.7</v>
      </c>
      <c r="S119" s="64">
        <f t="shared" si="35"/>
        <v>4756.7</v>
      </c>
      <c r="T119" s="64">
        <f t="shared" si="35"/>
        <v>4756.7</v>
      </c>
      <c r="U119" s="68">
        <f>J119+K119+L119+M119+O119+Q119+R119+S119+T119</f>
        <v>35152.9</v>
      </c>
      <c r="V119" s="32">
        <v>2024</v>
      </c>
      <c r="W119" s="4">
        <f t="shared" si="23"/>
        <v>1271.9</v>
      </c>
      <c r="X119" s="4">
        <f t="shared" si="24"/>
        <v>1271.9</v>
      </c>
      <c r="Y119" s="4"/>
      <c r="Z119" s="3"/>
    </row>
    <row r="120" spans="1:26" s="7" customFormat="1" ht="12.75">
      <c r="A120" s="33" t="s">
        <v>254</v>
      </c>
      <c r="B120" s="34">
        <v>1</v>
      </c>
      <c r="C120" s="34">
        <v>1</v>
      </c>
      <c r="D120" s="34">
        <v>4</v>
      </c>
      <c r="E120" s="34">
        <v>0</v>
      </c>
      <c r="F120" s="34">
        <v>0</v>
      </c>
      <c r="G120" s="34">
        <v>3</v>
      </c>
      <c r="H120" s="51" t="s">
        <v>256</v>
      </c>
      <c r="I120" s="34" t="s">
        <v>255</v>
      </c>
      <c r="J120" s="53">
        <f>J128+J135</f>
        <v>2671</v>
      </c>
      <c r="K120" s="53">
        <f>K128+K135</f>
        <v>2745.5</v>
      </c>
      <c r="L120" s="53">
        <f>L128+L135</f>
        <v>2449.1</v>
      </c>
      <c r="M120" s="65">
        <f aca="true" t="shared" si="36" ref="M120:T120">M128+M135+M138</f>
        <v>3503.8</v>
      </c>
      <c r="N120" s="65">
        <f>N128+N135+N138</f>
        <v>3484.8</v>
      </c>
      <c r="O120" s="67">
        <f t="shared" si="36"/>
        <v>4756.7</v>
      </c>
      <c r="P120" s="67">
        <f>P128+P135+P138</f>
        <v>3484.8</v>
      </c>
      <c r="Q120" s="67">
        <f t="shared" si="36"/>
        <v>4756.7</v>
      </c>
      <c r="R120" s="67">
        <f t="shared" si="36"/>
        <v>4756.7</v>
      </c>
      <c r="S120" s="67">
        <f t="shared" si="36"/>
        <v>4756.7</v>
      </c>
      <c r="T120" s="67">
        <f t="shared" si="36"/>
        <v>4756.7</v>
      </c>
      <c r="U120" s="65">
        <f>J120+K120+L120+M120+O120+Q120+R120+S120+T120</f>
        <v>35152.9</v>
      </c>
      <c r="V120" s="88">
        <v>2024</v>
      </c>
      <c r="W120" s="4">
        <f t="shared" si="23"/>
        <v>1271.9</v>
      </c>
      <c r="X120" s="4">
        <f t="shared" si="24"/>
        <v>1271.9</v>
      </c>
      <c r="Y120" s="4"/>
      <c r="Z120" s="3"/>
    </row>
    <row r="121" spans="1:24" ht="63.75">
      <c r="A121" s="33" t="s">
        <v>254</v>
      </c>
      <c r="B121" s="34">
        <v>1</v>
      </c>
      <c r="C121" s="34">
        <v>1</v>
      </c>
      <c r="D121" s="34">
        <v>4</v>
      </c>
      <c r="E121" s="34">
        <v>0</v>
      </c>
      <c r="F121" s="34">
        <v>0</v>
      </c>
      <c r="G121" s="35"/>
      <c r="H121" s="39" t="s">
        <v>112</v>
      </c>
      <c r="I121" s="35" t="s">
        <v>260</v>
      </c>
      <c r="J121" s="96">
        <f>J120/J9*100</f>
        <v>0.2</v>
      </c>
      <c r="K121" s="96">
        <f>K120/K9*100</f>
        <v>0.2</v>
      </c>
      <c r="L121" s="96">
        <f>L120/L9*100</f>
        <v>0.2</v>
      </c>
      <c r="M121" s="80">
        <f>M120/M9*100</f>
        <v>0.2</v>
      </c>
      <c r="N121" s="80">
        <v>0.2</v>
      </c>
      <c r="O121" s="80">
        <v>0.3</v>
      </c>
      <c r="P121" s="80">
        <v>0.2</v>
      </c>
      <c r="Q121" s="80">
        <v>0.3</v>
      </c>
      <c r="R121" s="80">
        <v>0.3</v>
      </c>
      <c r="S121" s="80">
        <v>0.3</v>
      </c>
      <c r="T121" s="80">
        <v>0.3</v>
      </c>
      <c r="U121" s="80">
        <v>0.3</v>
      </c>
      <c r="V121" s="90">
        <v>2024</v>
      </c>
      <c r="W121" s="4">
        <f t="shared" si="23"/>
        <v>0.1</v>
      </c>
      <c r="X121" s="4">
        <f t="shared" si="24"/>
        <v>0.1</v>
      </c>
    </row>
    <row r="122" spans="1:24" ht="51">
      <c r="A122" s="33" t="s">
        <v>254</v>
      </c>
      <c r="B122" s="34">
        <v>1</v>
      </c>
      <c r="C122" s="34">
        <v>1</v>
      </c>
      <c r="D122" s="34">
        <v>4</v>
      </c>
      <c r="E122" s="34">
        <v>0</v>
      </c>
      <c r="F122" s="34">
        <v>0</v>
      </c>
      <c r="G122" s="35"/>
      <c r="H122" s="39" t="s">
        <v>68</v>
      </c>
      <c r="I122" s="35" t="s">
        <v>294</v>
      </c>
      <c r="J122" s="48">
        <v>98</v>
      </c>
      <c r="K122" s="48">
        <v>105</v>
      </c>
      <c r="L122" s="48">
        <v>106</v>
      </c>
      <c r="M122" s="58">
        <v>98</v>
      </c>
      <c r="N122" s="58">
        <v>100</v>
      </c>
      <c r="O122" s="58">
        <v>111</v>
      </c>
      <c r="P122" s="58">
        <v>100</v>
      </c>
      <c r="Q122" s="58">
        <v>111</v>
      </c>
      <c r="R122" s="58">
        <v>111</v>
      </c>
      <c r="S122" s="58">
        <v>111</v>
      </c>
      <c r="T122" s="58">
        <v>111</v>
      </c>
      <c r="U122" s="58">
        <v>111</v>
      </c>
      <c r="V122" s="90">
        <v>2024</v>
      </c>
      <c r="W122" s="4">
        <f t="shared" si="23"/>
        <v>11</v>
      </c>
      <c r="X122" s="4">
        <f t="shared" si="24"/>
        <v>11</v>
      </c>
    </row>
    <row r="123" spans="1:24" ht="51">
      <c r="A123" s="33" t="s">
        <v>254</v>
      </c>
      <c r="B123" s="34">
        <v>1</v>
      </c>
      <c r="C123" s="34">
        <v>1</v>
      </c>
      <c r="D123" s="34">
        <v>4</v>
      </c>
      <c r="E123" s="34">
        <v>0</v>
      </c>
      <c r="F123" s="34">
        <v>0</v>
      </c>
      <c r="G123" s="35"/>
      <c r="H123" s="39" t="s">
        <v>265</v>
      </c>
      <c r="I123" s="35" t="s">
        <v>260</v>
      </c>
      <c r="J123" s="47">
        <v>0</v>
      </c>
      <c r="K123" s="47">
        <v>0</v>
      </c>
      <c r="L123" s="47">
        <v>0</v>
      </c>
      <c r="M123" s="56">
        <v>1.5</v>
      </c>
      <c r="N123" s="56">
        <v>1.5</v>
      </c>
      <c r="O123" s="56">
        <v>1.5</v>
      </c>
      <c r="P123" s="56">
        <v>1.6</v>
      </c>
      <c r="Q123" s="56">
        <v>1.6</v>
      </c>
      <c r="R123" s="56">
        <v>1.6</v>
      </c>
      <c r="S123" s="56">
        <v>1.6</v>
      </c>
      <c r="T123" s="56">
        <v>1.7</v>
      </c>
      <c r="U123" s="56">
        <v>1.7</v>
      </c>
      <c r="V123" s="90">
        <v>2024</v>
      </c>
      <c r="W123" s="4">
        <f t="shared" si="23"/>
        <v>0</v>
      </c>
      <c r="X123" s="4">
        <f t="shared" si="24"/>
        <v>0</v>
      </c>
    </row>
    <row r="124" spans="1:24" ht="76.5">
      <c r="A124" s="33" t="s">
        <v>254</v>
      </c>
      <c r="B124" s="34">
        <v>1</v>
      </c>
      <c r="C124" s="34">
        <v>1</v>
      </c>
      <c r="D124" s="34">
        <v>4</v>
      </c>
      <c r="E124" s="34">
        <v>0</v>
      </c>
      <c r="F124" s="34">
        <v>0</v>
      </c>
      <c r="G124" s="35"/>
      <c r="H124" s="39" t="s">
        <v>232</v>
      </c>
      <c r="I124" s="35" t="s">
        <v>294</v>
      </c>
      <c r="J124" s="47">
        <v>0</v>
      </c>
      <c r="K124" s="47">
        <v>0</v>
      </c>
      <c r="L124" s="47">
        <v>0</v>
      </c>
      <c r="M124" s="58">
        <v>2</v>
      </c>
      <c r="N124" s="58">
        <v>0</v>
      </c>
      <c r="O124" s="58">
        <v>11</v>
      </c>
      <c r="P124" s="58">
        <v>0</v>
      </c>
      <c r="Q124" s="58">
        <v>11</v>
      </c>
      <c r="R124" s="58">
        <v>11</v>
      </c>
      <c r="S124" s="58">
        <v>11</v>
      </c>
      <c r="T124" s="58">
        <v>11</v>
      </c>
      <c r="U124" s="58">
        <v>55</v>
      </c>
      <c r="V124" s="90">
        <v>2024</v>
      </c>
      <c r="W124" s="4">
        <f t="shared" si="23"/>
        <v>11</v>
      </c>
      <c r="X124" s="4">
        <f t="shared" si="24"/>
        <v>11</v>
      </c>
    </row>
    <row r="125" spans="1:24" ht="51">
      <c r="A125" s="36" t="s">
        <v>254</v>
      </c>
      <c r="B125" s="37">
        <v>1</v>
      </c>
      <c r="C125" s="37">
        <v>1</v>
      </c>
      <c r="D125" s="37">
        <v>4</v>
      </c>
      <c r="E125" s="37">
        <v>0</v>
      </c>
      <c r="F125" s="37">
        <v>1</v>
      </c>
      <c r="G125" s="38"/>
      <c r="H125" s="43" t="s">
        <v>216</v>
      </c>
      <c r="I125" s="38" t="s">
        <v>279</v>
      </c>
      <c r="J125" s="44" t="s">
        <v>280</v>
      </c>
      <c r="K125" s="44" t="s">
        <v>280</v>
      </c>
      <c r="L125" s="44" t="s">
        <v>280</v>
      </c>
      <c r="M125" s="46" t="s">
        <v>280</v>
      </c>
      <c r="N125" s="46" t="s">
        <v>280</v>
      </c>
      <c r="O125" s="46" t="s">
        <v>280</v>
      </c>
      <c r="P125" s="46" t="s">
        <v>280</v>
      </c>
      <c r="Q125" s="46" t="s">
        <v>280</v>
      </c>
      <c r="R125" s="46" t="s">
        <v>280</v>
      </c>
      <c r="S125" s="46" t="s">
        <v>280</v>
      </c>
      <c r="T125" s="46" t="s">
        <v>280</v>
      </c>
      <c r="U125" s="46" t="s">
        <v>280</v>
      </c>
      <c r="V125" s="38">
        <v>2024</v>
      </c>
      <c r="W125" s="4"/>
      <c r="X125" s="4"/>
    </row>
    <row r="126" spans="1:24" ht="51">
      <c r="A126" s="33" t="s">
        <v>254</v>
      </c>
      <c r="B126" s="34">
        <v>1</v>
      </c>
      <c r="C126" s="34">
        <v>1</v>
      </c>
      <c r="D126" s="34">
        <v>4</v>
      </c>
      <c r="E126" s="34">
        <v>0</v>
      </c>
      <c r="F126" s="34">
        <v>1</v>
      </c>
      <c r="G126" s="35"/>
      <c r="H126" s="39" t="s">
        <v>266</v>
      </c>
      <c r="I126" s="35" t="s">
        <v>260</v>
      </c>
      <c r="J126" s="42">
        <v>100</v>
      </c>
      <c r="K126" s="42">
        <v>100</v>
      </c>
      <c r="L126" s="42">
        <v>100</v>
      </c>
      <c r="M126" s="63">
        <v>100</v>
      </c>
      <c r="N126" s="63">
        <v>100</v>
      </c>
      <c r="O126" s="41">
        <v>100</v>
      </c>
      <c r="P126" s="41">
        <v>100</v>
      </c>
      <c r="Q126" s="41">
        <v>100</v>
      </c>
      <c r="R126" s="63">
        <v>100</v>
      </c>
      <c r="S126" s="63">
        <v>100</v>
      </c>
      <c r="T126" s="63">
        <v>100</v>
      </c>
      <c r="U126" s="42">
        <v>100</v>
      </c>
      <c r="V126" s="90">
        <v>2024</v>
      </c>
      <c r="W126" s="4">
        <f t="shared" si="23"/>
        <v>0</v>
      </c>
      <c r="X126" s="4">
        <f t="shared" si="24"/>
        <v>0</v>
      </c>
    </row>
    <row r="127" spans="1:26" s="7" customFormat="1" ht="51">
      <c r="A127" s="36" t="s">
        <v>254</v>
      </c>
      <c r="B127" s="37">
        <v>1</v>
      </c>
      <c r="C127" s="37">
        <v>1</v>
      </c>
      <c r="D127" s="37">
        <v>4</v>
      </c>
      <c r="E127" s="37">
        <v>0</v>
      </c>
      <c r="F127" s="37">
        <v>2</v>
      </c>
      <c r="G127" s="37"/>
      <c r="H127" s="176" t="s">
        <v>387</v>
      </c>
      <c r="I127" s="37" t="s">
        <v>255</v>
      </c>
      <c r="J127" s="45">
        <f aca="true" t="shared" si="37" ref="J127:T127">J128</f>
        <v>2271</v>
      </c>
      <c r="K127" s="45">
        <f t="shared" si="37"/>
        <v>2345.5</v>
      </c>
      <c r="L127" s="45">
        <f t="shared" si="37"/>
        <v>2249.1</v>
      </c>
      <c r="M127" s="50">
        <f t="shared" si="37"/>
        <v>3284.8</v>
      </c>
      <c r="N127" s="50">
        <f t="shared" si="37"/>
        <v>3284.8</v>
      </c>
      <c r="O127" s="50">
        <f t="shared" si="37"/>
        <v>3612.9</v>
      </c>
      <c r="P127" s="50">
        <f t="shared" si="37"/>
        <v>3284.8</v>
      </c>
      <c r="Q127" s="50">
        <f t="shared" si="37"/>
        <v>3612.9</v>
      </c>
      <c r="R127" s="50">
        <f t="shared" si="37"/>
        <v>3612.9</v>
      </c>
      <c r="S127" s="50">
        <f t="shared" si="37"/>
        <v>3612.9</v>
      </c>
      <c r="T127" s="50">
        <f t="shared" si="37"/>
        <v>3612.9</v>
      </c>
      <c r="U127" s="45">
        <f>J127+K127+L127+M127+O127+Q127+R127+S127+T127</f>
        <v>28214.9</v>
      </c>
      <c r="V127" s="37">
        <v>2024</v>
      </c>
      <c r="W127" s="4">
        <f t="shared" si="23"/>
        <v>328.1</v>
      </c>
      <c r="X127" s="4">
        <f t="shared" si="24"/>
        <v>328.1</v>
      </c>
      <c r="Y127" s="4"/>
      <c r="Z127" s="3"/>
    </row>
    <row r="128" spans="1:26" s="7" customFormat="1" ht="12.75">
      <c r="A128" s="33" t="s">
        <v>254</v>
      </c>
      <c r="B128" s="34">
        <v>1</v>
      </c>
      <c r="C128" s="34">
        <v>1</v>
      </c>
      <c r="D128" s="34">
        <v>4</v>
      </c>
      <c r="E128" s="34">
        <v>0</v>
      </c>
      <c r="F128" s="34">
        <v>2</v>
      </c>
      <c r="G128" s="34">
        <v>3</v>
      </c>
      <c r="H128" s="51" t="s">
        <v>256</v>
      </c>
      <c r="I128" s="34" t="s">
        <v>255</v>
      </c>
      <c r="J128" s="53">
        <f>2271</f>
        <v>2271</v>
      </c>
      <c r="K128" s="53">
        <v>2345.5</v>
      </c>
      <c r="L128" s="53">
        <v>2249.1</v>
      </c>
      <c r="M128" s="65">
        <v>3284.8</v>
      </c>
      <c r="N128" s="65">
        <v>3284.8</v>
      </c>
      <c r="O128" s="52">
        <v>3612.9</v>
      </c>
      <c r="P128" s="52">
        <v>3284.8</v>
      </c>
      <c r="Q128" s="52">
        <v>3612.9</v>
      </c>
      <c r="R128" s="52">
        <v>3612.9</v>
      </c>
      <c r="S128" s="52">
        <v>3612.9</v>
      </c>
      <c r="T128" s="52">
        <v>3612.9</v>
      </c>
      <c r="U128" s="53">
        <f>J128+K128+L128+M128+O128+Q128+R128+S128+T128</f>
        <v>28214.9</v>
      </c>
      <c r="V128" s="88">
        <v>2024</v>
      </c>
      <c r="W128" s="4">
        <f t="shared" si="23"/>
        <v>328.1</v>
      </c>
      <c r="X128" s="4">
        <f t="shared" si="24"/>
        <v>328.1</v>
      </c>
      <c r="Y128" s="4"/>
      <c r="Z128" s="3"/>
    </row>
    <row r="129" spans="1:24" ht="38.25">
      <c r="A129" s="33" t="s">
        <v>254</v>
      </c>
      <c r="B129" s="34">
        <v>1</v>
      </c>
      <c r="C129" s="34">
        <v>1</v>
      </c>
      <c r="D129" s="34">
        <v>4</v>
      </c>
      <c r="E129" s="34">
        <v>0</v>
      </c>
      <c r="F129" s="34">
        <v>2</v>
      </c>
      <c r="G129" s="35"/>
      <c r="H129" s="54" t="s">
        <v>304</v>
      </c>
      <c r="I129" s="35" t="s">
        <v>294</v>
      </c>
      <c r="J129" s="48">
        <v>60</v>
      </c>
      <c r="K129" s="48">
        <f>65</f>
        <v>65</v>
      </c>
      <c r="L129" s="48">
        <v>56</v>
      </c>
      <c r="M129" s="58">
        <v>58</v>
      </c>
      <c r="N129" s="58">
        <v>58</v>
      </c>
      <c r="O129" s="58">
        <v>60</v>
      </c>
      <c r="P129" s="58">
        <v>58</v>
      </c>
      <c r="Q129" s="58">
        <v>70</v>
      </c>
      <c r="R129" s="58">
        <v>70</v>
      </c>
      <c r="S129" s="58">
        <v>70</v>
      </c>
      <c r="T129" s="58">
        <v>70</v>
      </c>
      <c r="U129" s="48">
        <f>J129+K129+L129+M129+O129+Q129+R129+S129+T129</f>
        <v>579</v>
      </c>
      <c r="V129" s="90">
        <v>2024</v>
      </c>
      <c r="W129" s="4">
        <f t="shared" si="23"/>
        <v>2</v>
      </c>
      <c r="X129" s="4">
        <f t="shared" si="24"/>
        <v>12</v>
      </c>
    </row>
    <row r="130" spans="1:24" ht="51">
      <c r="A130" s="33" t="s">
        <v>254</v>
      </c>
      <c r="B130" s="34">
        <v>1</v>
      </c>
      <c r="C130" s="34">
        <v>1</v>
      </c>
      <c r="D130" s="34">
        <v>4</v>
      </c>
      <c r="E130" s="34">
        <v>0</v>
      </c>
      <c r="F130" s="34">
        <v>2</v>
      </c>
      <c r="G130" s="35"/>
      <c r="H130" s="54" t="s">
        <v>113</v>
      </c>
      <c r="I130" s="35" t="s">
        <v>260</v>
      </c>
      <c r="J130" s="42">
        <v>9</v>
      </c>
      <c r="K130" s="42">
        <f>4/(28+7)*100</f>
        <v>11.4</v>
      </c>
      <c r="L130" s="42">
        <v>9</v>
      </c>
      <c r="M130" s="56">
        <v>8.6</v>
      </c>
      <c r="N130" s="56">
        <v>13</v>
      </c>
      <c r="O130" s="56">
        <v>13</v>
      </c>
      <c r="P130" s="56">
        <v>14</v>
      </c>
      <c r="Q130" s="56">
        <v>14</v>
      </c>
      <c r="R130" s="56">
        <v>14</v>
      </c>
      <c r="S130" s="56">
        <v>14</v>
      </c>
      <c r="T130" s="56">
        <v>14</v>
      </c>
      <c r="U130" s="42">
        <v>14</v>
      </c>
      <c r="V130" s="90">
        <v>2024</v>
      </c>
      <c r="W130" s="4">
        <f t="shared" si="23"/>
        <v>0</v>
      </c>
      <c r="X130" s="4">
        <f t="shared" si="24"/>
        <v>0</v>
      </c>
    </row>
    <row r="131" spans="1:24" ht="51">
      <c r="A131" s="33" t="s">
        <v>254</v>
      </c>
      <c r="B131" s="34">
        <v>1</v>
      </c>
      <c r="C131" s="34">
        <v>1</v>
      </c>
      <c r="D131" s="34">
        <v>4</v>
      </c>
      <c r="E131" s="34">
        <v>0</v>
      </c>
      <c r="F131" s="34">
        <v>2</v>
      </c>
      <c r="G131" s="35"/>
      <c r="H131" s="54" t="s">
        <v>153</v>
      </c>
      <c r="I131" s="35" t="s">
        <v>294</v>
      </c>
      <c r="J131" s="48">
        <v>29</v>
      </c>
      <c r="K131" s="48">
        <v>29</v>
      </c>
      <c r="L131" s="48">
        <v>50</v>
      </c>
      <c r="M131" s="58">
        <v>41</v>
      </c>
      <c r="N131" s="58">
        <v>42</v>
      </c>
      <c r="O131" s="58">
        <v>51</v>
      </c>
      <c r="P131" s="58">
        <v>42</v>
      </c>
      <c r="Q131" s="58">
        <v>51</v>
      </c>
      <c r="R131" s="58">
        <v>51</v>
      </c>
      <c r="S131" s="58">
        <v>51</v>
      </c>
      <c r="T131" s="58">
        <v>51</v>
      </c>
      <c r="U131" s="48">
        <f>(J131+K131+L131+M131+O131+Q131+R131+S131+T131)/9</f>
        <v>45</v>
      </c>
      <c r="V131" s="90">
        <v>2024</v>
      </c>
      <c r="W131" s="4">
        <f t="shared" si="23"/>
        <v>9</v>
      </c>
      <c r="X131" s="4">
        <f t="shared" si="24"/>
        <v>9</v>
      </c>
    </row>
    <row r="132" spans="1:24" ht="51">
      <c r="A132" s="33" t="s">
        <v>254</v>
      </c>
      <c r="B132" s="34">
        <v>1</v>
      </c>
      <c r="C132" s="34">
        <v>1</v>
      </c>
      <c r="D132" s="34">
        <v>4</v>
      </c>
      <c r="E132" s="34">
        <v>0</v>
      </c>
      <c r="F132" s="34">
        <v>2</v>
      </c>
      <c r="G132" s="35"/>
      <c r="H132" s="54" t="s">
        <v>154</v>
      </c>
      <c r="I132" s="35" t="s">
        <v>294</v>
      </c>
      <c r="J132" s="48">
        <v>11</v>
      </c>
      <c r="K132" s="48">
        <v>11</v>
      </c>
      <c r="L132" s="48">
        <v>12</v>
      </c>
      <c r="M132" s="58">
        <v>12</v>
      </c>
      <c r="N132" s="58">
        <v>12</v>
      </c>
      <c r="O132" s="58">
        <v>12</v>
      </c>
      <c r="P132" s="58">
        <v>12</v>
      </c>
      <c r="Q132" s="58">
        <v>12</v>
      </c>
      <c r="R132" s="58">
        <v>12</v>
      </c>
      <c r="S132" s="58">
        <v>12</v>
      </c>
      <c r="T132" s="58">
        <v>12</v>
      </c>
      <c r="U132" s="48">
        <v>12</v>
      </c>
      <c r="V132" s="90">
        <v>2024</v>
      </c>
      <c r="W132" s="4">
        <f t="shared" si="23"/>
        <v>0</v>
      </c>
      <c r="X132" s="4">
        <f t="shared" si="24"/>
        <v>0</v>
      </c>
    </row>
    <row r="133" spans="1:24" ht="38.25">
      <c r="A133" s="33" t="s">
        <v>254</v>
      </c>
      <c r="B133" s="34">
        <v>1</v>
      </c>
      <c r="C133" s="34">
        <v>1</v>
      </c>
      <c r="D133" s="34">
        <v>4</v>
      </c>
      <c r="E133" s="34">
        <v>0</v>
      </c>
      <c r="F133" s="34">
        <v>2</v>
      </c>
      <c r="G133" s="35"/>
      <c r="H133" s="54" t="s">
        <v>105</v>
      </c>
      <c r="I133" s="35" t="s">
        <v>283</v>
      </c>
      <c r="J133" s="48">
        <v>75</v>
      </c>
      <c r="K133" s="48">
        <f>115+29</f>
        <v>144</v>
      </c>
      <c r="L133" s="48">
        <v>184</v>
      </c>
      <c r="M133" s="58">
        <v>309</v>
      </c>
      <c r="N133" s="58">
        <v>302</v>
      </c>
      <c r="O133" s="58">
        <v>310</v>
      </c>
      <c r="P133" s="58">
        <v>330</v>
      </c>
      <c r="Q133" s="58">
        <v>330</v>
      </c>
      <c r="R133" s="58">
        <v>330</v>
      </c>
      <c r="S133" s="58">
        <v>330</v>
      </c>
      <c r="T133" s="58">
        <v>330</v>
      </c>
      <c r="U133" s="48">
        <f aca="true" t="shared" si="38" ref="U133:U142">J133+K133+L133+M133+O133+Q133+R133+S133+T133</f>
        <v>2342</v>
      </c>
      <c r="V133" s="90">
        <v>2024</v>
      </c>
      <c r="W133" s="4">
        <f t="shared" si="23"/>
        <v>8</v>
      </c>
      <c r="X133" s="4">
        <f t="shared" si="24"/>
        <v>0</v>
      </c>
    </row>
    <row r="134" spans="1:26" s="7" customFormat="1" ht="51">
      <c r="A134" s="36" t="s">
        <v>254</v>
      </c>
      <c r="B134" s="37">
        <v>1</v>
      </c>
      <c r="C134" s="37">
        <v>1</v>
      </c>
      <c r="D134" s="37">
        <v>4</v>
      </c>
      <c r="E134" s="37">
        <v>0</v>
      </c>
      <c r="F134" s="37">
        <v>3</v>
      </c>
      <c r="G134" s="37"/>
      <c r="H134" s="49" t="s">
        <v>388</v>
      </c>
      <c r="I134" s="37" t="s">
        <v>255</v>
      </c>
      <c r="J134" s="45">
        <f aca="true" t="shared" si="39" ref="J134:P134">J135</f>
        <v>400</v>
      </c>
      <c r="K134" s="45">
        <f t="shared" si="39"/>
        <v>400</v>
      </c>
      <c r="L134" s="45">
        <f t="shared" si="39"/>
        <v>200</v>
      </c>
      <c r="M134" s="50">
        <f t="shared" si="39"/>
        <v>200</v>
      </c>
      <c r="N134" s="50">
        <f t="shared" si="39"/>
        <v>200</v>
      </c>
      <c r="O134" s="50">
        <f t="shared" si="39"/>
        <v>200</v>
      </c>
      <c r="P134" s="50">
        <f t="shared" si="39"/>
        <v>200</v>
      </c>
      <c r="Q134" s="50">
        <v>200</v>
      </c>
      <c r="R134" s="50">
        <f>R135</f>
        <v>200</v>
      </c>
      <c r="S134" s="50">
        <f>S135</f>
        <v>200</v>
      </c>
      <c r="T134" s="50">
        <f>T135</f>
        <v>200</v>
      </c>
      <c r="U134" s="45">
        <f t="shared" si="38"/>
        <v>2200</v>
      </c>
      <c r="V134" s="37">
        <v>2024</v>
      </c>
      <c r="W134" s="4">
        <f t="shared" si="23"/>
        <v>0</v>
      </c>
      <c r="X134" s="4">
        <f t="shared" si="24"/>
        <v>0</v>
      </c>
      <c r="Y134" s="4"/>
      <c r="Z134" s="3"/>
    </row>
    <row r="135" spans="1:26" s="7" customFormat="1" ht="12.75">
      <c r="A135" s="33" t="s">
        <v>254</v>
      </c>
      <c r="B135" s="34">
        <v>1</v>
      </c>
      <c r="C135" s="34">
        <v>1</v>
      </c>
      <c r="D135" s="34">
        <v>4</v>
      </c>
      <c r="E135" s="34">
        <v>0</v>
      </c>
      <c r="F135" s="34">
        <v>3</v>
      </c>
      <c r="G135" s="34">
        <v>3</v>
      </c>
      <c r="H135" s="51" t="s">
        <v>256</v>
      </c>
      <c r="I135" s="34" t="s">
        <v>255</v>
      </c>
      <c r="J135" s="53">
        <v>400</v>
      </c>
      <c r="K135" s="53">
        <v>400</v>
      </c>
      <c r="L135" s="53">
        <v>200</v>
      </c>
      <c r="M135" s="65">
        <v>200</v>
      </c>
      <c r="N135" s="65">
        <v>200</v>
      </c>
      <c r="O135" s="67">
        <v>200</v>
      </c>
      <c r="P135" s="67">
        <v>200</v>
      </c>
      <c r="Q135" s="67">
        <v>200</v>
      </c>
      <c r="R135" s="65">
        <v>200</v>
      </c>
      <c r="S135" s="65">
        <v>200</v>
      </c>
      <c r="T135" s="65">
        <v>200</v>
      </c>
      <c r="U135" s="53">
        <f t="shared" si="38"/>
        <v>2200</v>
      </c>
      <c r="V135" s="88">
        <v>2024</v>
      </c>
      <c r="W135" s="4">
        <f t="shared" si="23"/>
        <v>0</v>
      </c>
      <c r="X135" s="4">
        <f t="shared" si="24"/>
        <v>0</v>
      </c>
      <c r="Y135" s="4"/>
      <c r="Z135" s="3"/>
    </row>
    <row r="136" spans="1:24" ht="51">
      <c r="A136" s="33" t="s">
        <v>254</v>
      </c>
      <c r="B136" s="34">
        <v>1</v>
      </c>
      <c r="C136" s="34">
        <v>1</v>
      </c>
      <c r="D136" s="34">
        <v>4</v>
      </c>
      <c r="E136" s="34">
        <v>0</v>
      </c>
      <c r="F136" s="34">
        <v>3</v>
      </c>
      <c r="G136" s="35"/>
      <c r="H136" s="39" t="s">
        <v>305</v>
      </c>
      <c r="I136" s="35" t="s">
        <v>294</v>
      </c>
      <c r="J136" s="48">
        <v>2</v>
      </c>
      <c r="K136" s="48">
        <v>4</v>
      </c>
      <c r="L136" s="48">
        <v>3</v>
      </c>
      <c r="M136" s="97">
        <v>3</v>
      </c>
      <c r="N136" s="97">
        <v>2</v>
      </c>
      <c r="O136" s="70">
        <v>2</v>
      </c>
      <c r="P136" s="70">
        <v>2</v>
      </c>
      <c r="Q136" s="70">
        <v>2</v>
      </c>
      <c r="R136" s="97">
        <v>2</v>
      </c>
      <c r="S136" s="97">
        <v>2</v>
      </c>
      <c r="T136" s="97">
        <v>2</v>
      </c>
      <c r="U136" s="48">
        <f t="shared" si="38"/>
        <v>22</v>
      </c>
      <c r="V136" s="90">
        <v>2024</v>
      </c>
      <c r="W136" s="4">
        <f t="shared" si="23"/>
        <v>0</v>
      </c>
      <c r="X136" s="4">
        <f t="shared" si="24"/>
        <v>0</v>
      </c>
    </row>
    <row r="137" spans="1:26" s="7" customFormat="1" ht="63.75">
      <c r="A137" s="36" t="s">
        <v>254</v>
      </c>
      <c r="B137" s="37">
        <v>1</v>
      </c>
      <c r="C137" s="37">
        <v>1</v>
      </c>
      <c r="D137" s="37">
        <v>4</v>
      </c>
      <c r="E137" s="37">
        <v>0</v>
      </c>
      <c r="F137" s="37">
        <v>4</v>
      </c>
      <c r="G137" s="37"/>
      <c r="H137" s="49" t="s">
        <v>233</v>
      </c>
      <c r="I137" s="37" t="s">
        <v>255</v>
      </c>
      <c r="J137" s="45">
        <f aca="true" t="shared" si="40" ref="J137:T137">J138</f>
        <v>0</v>
      </c>
      <c r="K137" s="45">
        <f t="shared" si="40"/>
        <v>0</v>
      </c>
      <c r="L137" s="45">
        <f t="shared" si="40"/>
        <v>0</v>
      </c>
      <c r="M137" s="45">
        <f t="shared" si="40"/>
        <v>19</v>
      </c>
      <c r="N137" s="45">
        <f t="shared" si="40"/>
        <v>0</v>
      </c>
      <c r="O137" s="45">
        <f>O138</f>
        <v>943.8</v>
      </c>
      <c r="P137" s="45">
        <f>P138</f>
        <v>0</v>
      </c>
      <c r="Q137" s="45">
        <f t="shared" si="40"/>
        <v>943.8</v>
      </c>
      <c r="R137" s="45">
        <f t="shared" si="40"/>
        <v>943.8</v>
      </c>
      <c r="S137" s="45">
        <f t="shared" si="40"/>
        <v>943.8</v>
      </c>
      <c r="T137" s="45">
        <f t="shared" si="40"/>
        <v>943.8</v>
      </c>
      <c r="U137" s="45">
        <f t="shared" si="38"/>
        <v>4738</v>
      </c>
      <c r="V137" s="37">
        <v>2024</v>
      </c>
      <c r="W137" s="4">
        <f aca="true" t="shared" si="41" ref="W137:W200">O137-N137</f>
        <v>943.8</v>
      </c>
      <c r="X137" s="4">
        <f aca="true" t="shared" si="42" ref="X137:X200">Q137-P137</f>
        <v>943.8</v>
      </c>
      <c r="Y137" s="3"/>
      <c r="Z137" s="3"/>
    </row>
    <row r="138" spans="1:26" s="7" customFormat="1" ht="12.75">
      <c r="A138" s="33" t="s">
        <v>254</v>
      </c>
      <c r="B138" s="34">
        <v>1</v>
      </c>
      <c r="C138" s="34">
        <v>1</v>
      </c>
      <c r="D138" s="34">
        <v>4</v>
      </c>
      <c r="E138" s="34">
        <v>0</v>
      </c>
      <c r="F138" s="34">
        <v>4</v>
      </c>
      <c r="G138" s="34">
        <v>3</v>
      </c>
      <c r="H138" s="51" t="s">
        <v>256</v>
      </c>
      <c r="I138" s="34" t="s">
        <v>255</v>
      </c>
      <c r="J138" s="53">
        <v>0</v>
      </c>
      <c r="K138" s="53">
        <v>0</v>
      </c>
      <c r="L138" s="53">
        <v>0</v>
      </c>
      <c r="M138" s="65">
        <v>19</v>
      </c>
      <c r="N138" s="65">
        <v>0</v>
      </c>
      <c r="O138" s="67">
        <v>943.8</v>
      </c>
      <c r="P138" s="67">
        <v>0</v>
      </c>
      <c r="Q138" s="67">
        <v>943.8</v>
      </c>
      <c r="R138" s="65">
        <v>943.8</v>
      </c>
      <c r="S138" s="65">
        <v>943.8</v>
      </c>
      <c r="T138" s="65">
        <v>943.8</v>
      </c>
      <c r="U138" s="53">
        <f t="shared" si="38"/>
        <v>4738</v>
      </c>
      <c r="V138" s="88">
        <v>2024</v>
      </c>
      <c r="W138" s="4">
        <f t="shared" si="41"/>
        <v>943.8</v>
      </c>
      <c r="X138" s="4">
        <f t="shared" si="42"/>
        <v>943.8</v>
      </c>
      <c r="Y138" s="8"/>
      <c r="Z138" s="3"/>
    </row>
    <row r="139" spans="1:24" ht="76.5">
      <c r="A139" s="33" t="s">
        <v>254</v>
      </c>
      <c r="B139" s="34">
        <v>1</v>
      </c>
      <c r="C139" s="34">
        <v>1</v>
      </c>
      <c r="D139" s="34">
        <v>4</v>
      </c>
      <c r="E139" s="34">
        <v>0</v>
      </c>
      <c r="F139" s="34">
        <v>4</v>
      </c>
      <c r="G139" s="35"/>
      <c r="H139" s="39" t="s">
        <v>234</v>
      </c>
      <c r="I139" s="35" t="s">
        <v>283</v>
      </c>
      <c r="J139" s="48">
        <v>0</v>
      </c>
      <c r="K139" s="48">
        <v>0</v>
      </c>
      <c r="L139" s="48">
        <v>0</v>
      </c>
      <c r="M139" s="97">
        <v>188</v>
      </c>
      <c r="N139" s="97">
        <v>0</v>
      </c>
      <c r="O139" s="70">
        <v>310</v>
      </c>
      <c r="P139" s="70">
        <v>0</v>
      </c>
      <c r="Q139" s="70">
        <v>310</v>
      </c>
      <c r="R139" s="97">
        <v>310</v>
      </c>
      <c r="S139" s="97">
        <v>310</v>
      </c>
      <c r="T139" s="97">
        <v>310</v>
      </c>
      <c r="U139" s="48">
        <f t="shared" si="38"/>
        <v>1738</v>
      </c>
      <c r="V139" s="90">
        <v>2024</v>
      </c>
      <c r="W139" s="4">
        <f t="shared" si="41"/>
        <v>310</v>
      </c>
      <c r="X139" s="4">
        <f t="shared" si="42"/>
        <v>310</v>
      </c>
    </row>
    <row r="140" spans="1:24" ht="51">
      <c r="A140" s="33" t="s">
        <v>254</v>
      </c>
      <c r="B140" s="34">
        <v>1</v>
      </c>
      <c r="C140" s="34">
        <v>1</v>
      </c>
      <c r="D140" s="34">
        <v>4</v>
      </c>
      <c r="E140" s="34">
        <v>0</v>
      </c>
      <c r="F140" s="34">
        <v>4</v>
      </c>
      <c r="G140" s="35"/>
      <c r="H140" s="39" t="s">
        <v>235</v>
      </c>
      <c r="I140" s="35" t="s">
        <v>294</v>
      </c>
      <c r="J140" s="48">
        <v>0</v>
      </c>
      <c r="K140" s="48">
        <v>0</v>
      </c>
      <c r="L140" s="48">
        <v>0</v>
      </c>
      <c r="M140" s="97">
        <v>0</v>
      </c>
      <c r="N140" s="97">
        <v>0</v>
      </c>
      <c r="O140" s="70">
        <v>2360</v>
      </c>
      <c r="P140" s="70">
        <v>0</v>
      </c>
      <c r="Q140" s="70">
        <v>2370</v>
      </c>
      <c r="R140" s="97">
        <v>2380</v>
      </c>
      <c r="S140" s="97">
        <v>2380</v>
      </c>
      <c r="T140" s="97">
        <v>2380</v>
      </c>
      <c r="U140" s="48">
        <f t="shared" si="38"/>
        <v>11870</v>
      </c>
      <c r="V140" s="90">
        <v>2024</v>
      </c>
      <c r="W140" s="4">
        <f t="shared" si="41"/>
        <v>2360</v>
      </c>
      <c r="X140" s="4">
        <f t="shared" si="42"/>
        <v>2370</v>
      </c>
    </row>
    <row r="141" spans="1:26" s="7" customFormat="1" ht="63.75">
      <c r="A141" s="31" t="s">
        <v>254</v>
      </c>
      <c r="B141" s="32">
        <v>1</v>
      </c>
      <c r="C141" s="32">
        <v>1</v>
      </c>
      <c r="D141" s="32">
        <v>5</v>
      </c>
      <c r="E141" s="32">
        <v>0</v>
      </c>
      <c r="F141" s="32">
        <v>0</v>
      </c>
      <c r="G141" s="32"/>
      <c r="H141" s="30" t="s">
        <v>47</v>
      </c>
      <c r="I141" s="32" t="s">
        <v>255</v>
      </c>
      <c r="J141" s="68">
        <f aca="true" t="shared" si="43" ref="J141:T141">J142</f>
        <v>588</v>
      </c>
      <c r="K141" s="68">
        <f t="shared" si="43"/>
        <v>588</v>
      </c>
      <c r="L141" s="68">
        <f t="shared" si="43"/>
        <v>488</v>
      </c>
      <c r="M141" s="68">
        <f t="shared" si="43"/>
        <v>488</v>
      </c>
      <c r="N141" s="68">
        <f t="shared" si="43"/>
        <v>488</v>
      </c>
      <c r="O141" s="68">
        <f t="shared" si="43"/>
        <v>558.1</v>
      </c>
      <c r="P141" s="68">
        <f t="shared" si="43"/>
        <v>488</v>
      </c>
      <c r="Q141" s="68">
        <f t="shared" si="43"/>
        <v>558.1</v>
      </c>
      <c r="R141" s="68">
        <f t="shared" si="43"/>
        <v>558.1</v>
      </c>
      <c r="S141" s="68">
        <f t="shared" si="43"/>
        <v>558.1</v>
      </c>
      <c r="T141" s="68">
        <f t="shared" si="43"/>
        <v>558.1</v>
      </c>
      <c r="U141" s="68">
        <f t="shared" si="38"/>
        <v>4942.5</v>
      </c>
      <c r="V141" s="32">
        <v>2024</v>
      </c>
      <c r="W141" s="4">
        <f t="shared" si="41"/>
        <v>70.1</v>
      </c>
      <c r="X141" s="4">
        <f t="shared" si="42"/>
        <v>70.1</v>
      </c>
      <c r="Y141" s="4"/>
      <c r="Z141" s="3"/>
    </row>
    <row r="142" spans="1:26" s="7" customFormat="1" ht="12.75">
      <c r="A142" s="33" t="s">
        <v>254</v>
      </c>
      <c r="B142" s="34">
        <v>1</v>
      </c>
      <c r="C142" s="34">
        <v>1</v>
      </c>
      <c r="D142" s="34">
        <v>5</v>
      </c>
      <c r="E142" s="34">
        <v>0</v>
      </c>
      <c r="F142" s="34">
        <v>0</v>
      </c>
      <c r="G142" s="34">
        <v>3</v>
      </c>
      <c r="H142" s="51" t="s">
        <v>256</v>
      </c>
      <c r="I142" s="34" t="s">
        <v>255</v>
      </c>
      <c r="J142" s="53">
        <f aca="true" t="shared" si="44" ref="J142:T142">J149+J154+J160</f>
        <v>588</v>
      </c>
      <c r="K142" s="53">
        <f t="shared" si="44"/>
        <v>588</v>
      </c>
      <c r="L142" s="53">
        <f t="shared" si="44"/>
        <v>488</v>
      </c>
      <c r="M142" s="65">
        <f t="shared" si="44"/>
        <v>488</v>
      </c>
      <c r="N142" s="65">
        <f>N149+N154+N160</f>
        <v>488</v>
      </c>
      <c r="O142" s="65">
        <f t="shared" si="44"/>
        <v>558.1</v>
      </c>
      <c r="P142" s="65">
        <f>P149+P154+P160</f>
        <v>488</v>
      </c>
      <c r="Q142" s="65">
        <f t="shared" si="44"/>
        <v>558.1</v>
      </c>
      <c r="R142" s="65">
        <f t="shared" si="44"/>
        <v>558.1</v>
      </c>
      <c r="S142" s="65">
        <f t="shared" si="44"/>
        <v>558.1</v>
      </c>
      <c r="T142" s="65">
        <f t="shared" si="44"/>
        <v>558.1</v>
      </c>
      <c r="U142" s="53">
        <f t="shared" si="38"/>
        <v>4942.5</v>
      </c>
      <c r="V142" s="88">
        <v>2024</v>
      </c>
      <c r="W142" s="4">
        <f t="shared" si="41"/>
        <v>70.1</v>
      </c>
      <c r="X142" s="4">
        <f t="shared" si="42"/>
        <v>70.1</v>
      </c>
      <c r="Y142" s="4"/>
      <c r="Z142" s="3"/>
    </row>
    <row r="143" spans="1:24" ht="63.75">
      <c r="A143" s="33" t="s">
        <v>254</v>
      </c>
      <c r="B143" s="34">
        <v>1</v>
      </c>
      <c r="C143" s="34">
        <v>1</v>
      </c>
      <c r="D143" s="34">
        <v>5</v>
      </c>
      <c r="E143" s="34">
        <v>0</v>
      </c>
      <c r="F143" s="34">
        <v>0</v>
      </c>
      <c r="G143" s="35"/>
      <c r="H143" s="39" t="s">
        <v>306</v>
      </c>
      <c r="I143" s="35" t="s">
        <v>260</v>
      </c>
      <c r="J143" s="42">
        <v>20</v>
      </c>
      <c r="K143" s="42">
        <v>20.3</v>
      </c>
      <c r="L143" s="42">
        <v>19.9</v>
      </c>
      <c r="M143" s="63">
        <v>19.9</v>
      </c>
      <c r="N143" s="63">
        <v>19.9</v>
      </c>
      <c r="O143" s="41">
        <v>19.9</v>
      </c>
      <c r="P143" s="41">
        <v>20</v>
      </c>
      <c r="Q143" s="41">
        <v>20</v>
      </c>
      <c r="R143" s="41">
        <v>20</v>
      </c>
      <c r="S143" s="41">
        <v>20.1</v>
      </c>
      <c r="T143" s="41">
        <v>20.2</v>
      </c>
      <c r="U143" s="42">
        <v>20.2</v>
      </c>
      <c r="V143" s="90">
        <v>2024</v>
      </c>
      <c r="W143" s="4">
        <f t="shared" si="41"/>
        <v>0</v>
      </c>
      <c r="X143" s="4">
        <f t="shared" si="42"/>
        <v>0</v>
      </c>
    </row>
    <row r="144" spans="1:24" ht="51">
      <c r="A144" s="33" t="s">
        <v>254</v>
      </c>
      <c r="B144" s="34">
        <v>1</v>
      </c>
      <c r="C144" s="34">
        <v>1</v>
      </c>
      <c r="D144" s="34">
        <v>5</v>
      </c>
      <c r="E144" s="34">
        <v>0</v>
      </c>
      <c r="F144" s="34">
        <v>0</v>
      </c>
      <c r="G144" s="35"/>
      <c r="H144" s="39" t="s">
        <v>307</v>
      </c>
      <c r="I144" s="35" t="s">
        <v>260</v>
      </c>
      <c r="J144" s="42">
        <v>26</v>
      </c>
      <c r="K144" s="42">
        <v>31.8</v>
      </c>
      <c r="L144" s="42">
        <v>35</v>
      </c>
      <c r="M144" s="63">
        <v>35.3</v>
      </c>
      <c r="N144" s="63">
        <v>31.7</v>
      </c>
      <c r="O144" s="56">
        <v>35.3</v>
      </c>
      <c r="P144" s="56">
        <v>36.3</v>
      </c>
      <c r="Q144" s="41">
        <v>36.3</v>
      </c>
      <c r="R144" s="41">
        <v>36.3</v>
      </c>
      <c r="S144" s="41">
        <v>36.4</v>
      </c>
      <c r="T144" s="41">
        <v>36.4</v>
      </c>
      <c r="U144" s="42">
        <v>36.4</v>
      </c>
      <c r="V144" s="90">
        <v>2024</v>
      </c>
      <c r="W144" s="4">
        <f t="shared" si="41"/>
        <v>3.6</v>
      </c>
      <c r="X144" s="4">
        <f t="shared" si="42"/>
        <v>0</v>
      </c>
    </row>
    <row r="145" spans="1:24" ht="63.75">
      <c r="A145" s="36" t="s">
        <v>254</v>
      </c>
      <c r="B145" s="37">
        <v>1</v>
      </c>
      <c r="C145" s="37">
        <v>1</v>
      </c>
      <c r="D145" s="37">
        <v>5</v>
      </c>
      <c r="E145" s="37">
        <v>0</v>
      </c>
      <c r="F145" s="37">
        <v>1</v>
      </c>
      <c r="G145" s="38"/>
      <c r="H145" s="43" t="s">
        <v>217</v>
      </c>
      <c r="I145" s="38" t="s">
        <v>279</v>
      </c>
      <c r="J145" s="44" t="s">
        <v>280</v>
      </c>
      <c r="K145" s="44" t="s">
        <v>280</v>
      </c>
      <c r="L145" s="44" t="s">
        <v>280</v>
      </c>
      <c r="M145" s="46" t="s">
        <v>280</v>
      </c>
      <c r="N145" s="46" t="s">
        <v>280</v>
      </c>
      <c r="O145" s="46" t="s">
        <v>280</v>
      </c>
      <c r="P145" s="46" t="s">
        <v>280</v>
      </c>
      <c r="Q145" s="46" t="s">
        <v>280</v>
      </c>
      <c r="R145" s="46" t="s">
        <v>280</v>
      </c>
      <c r="S145" s="46" t="s">
        <v>280</v>
      </c>
      <c r="T145" s="46" t="s">
        <v>280</v>
      </c>
      <c r="U145" s="46" t="s">
        <v>280</v>
      </c>
      <c r="V145" s="38">
        <v>2024</v>
      </c>
      <c r="W145" s="4"/>
      <c r="X145" s="4"/>
    </row>
    <row r="146" spans="1:24" ht="63.75">
      <c r="A146" s="33" t="s">
        <v>254</v>
      </c>
      <c r="B146" s="34">
        <v>1</v>
      </c>
      <c r="C146" s="34">
        <v>1</v>
      </c>
      <c r="D146" s="34">
        <v>5</v>
      </c>
      <c r="E146" s="34">
        <v>0</v>
      </c>
      <c r="F146" s="34">
        <v>1</v>
      </c>
      <c r="G146" s="35"/>
      <c r="H146" s="39" t="s">
        <v>170</v>
      </c>
      <c r="I146" s="35" t="s">
        <v>294</v>
      </c>
      <c r="J146" s="48">
        <v>10</v>
      </c>
      <c r="K146" s="48">
        <v>10</v>
      </c>
      <c r="L146" s="48">
        <v>10</v>
      </c>
      <c r="M146" s="97">
        <v>10</v>
      </c>
      <c r="N146" s="97">
        <v>10</v>
      </c>
      <c r="O146" s="70">
        <v>10</v>
      </c>
      <c r="P146" s="70">
        <v>10</v>
      </c>
      <c r="Q146" s="70">
        <v>10</v>
      </c>
      <c r="R146" s="97">
        <v>10</v>
      </c>
      <c r="S146" s="97">
        <v>10</v>
      </c>
      <c r="T146" s="97">
        <v>10</v>
      </c>
      <c r="U146" s="48">
        <f>J146+K146+L146+M146+O146+Q146+R146+S146+T146</f>
        <v>90</v>
      </c>
      <c r="V146" s="90">
        <v>2024</v>
      </c>
      <c r="W146" s="4">
        <f t="shared" si="41"/>
        <v>0</v>
      </c>
      <c r="X146" s="4">
        <f t="shared" si="42"/>
        <v>0</v>
      </c>
    </row>
    <row r="147" spans="1:24" ht="63.75">
      <c r="A147" s="33" t="s">
        <v>254</v>
      </c>
      <c r="B147" s="34">
        <v>1</v>
      </c>
      <c r="C147" s="34">
        <v>1</v>
      </c>
      <c r="D147" s="34">
        <v>5</v>
      </c>
      <c r="E147" s="34">
        <v>0</v>
      </c>
      <c r="F147" s="34">
        <v>1</v>
      </c>
      <c r="G147" s="35"/>
      <c r="H147" s="39" t="s">
        <v>267</v>
      </c>
      <c r="I147" s="35" t="s">
        <v>260</v>
      </c>
      <c r="J147" s="42">
        <v>100</v>
      </c>
      <c r="K147" s="42">
        <v>100</v>
      </c>
      <c r="L147" s="42">
        <v>100</v>
      </c>
      <c r="M147" s="63">
        <v>100</v>
      </c>
      <c r="N147" s="63">
        <v>100</v>
      </c>
      <c r="O147" s="41">
        <v>100</v>
      </c>
      <c r="P147" s="41">
        <v>100</v>
      </c>
      <c r="Q147" s="41">
        <v>100</v>
      </c>
      <c r="R147" s="41">
        <v>100</v>
      </c>
      <c r="S147" s="41">
        <v>100</v>
      </c>
      <c r="T147" s="41">
        <v>100</v>
      </c>
      <c r="U147" s="42">
        <v>100</v>
      </c>
      <c r="V147" s="90">
        <v>2024</v>
      </c>
      <c r="W147" s="4">
        <f t="shared" si="41"/>
        <v>0</v>
      </c>
      <c r="X147" s="4">
        <f t="shared" si="42"/>
        <v>0</v>
      </c>
    </row>
    <row r="148" spans="1:26" s="7" customFormat="1" ht="76.5">
      <c r="A148" s="36" t="s">
        <v>254</v>
      </c>
      <c r="B148" s="37">
        <v>1</v>
      </c>
      <c r="C148" s="37">
        <v>1</v>
      </c>
      <c r="D148" s="37">
        <v>5</v>
      </c>
      <c r="E148" s="37">
        <v>0</v>
      </c>
      <c r="F148" s="37">
        <v>2</v>
      </c>
      <c r="G148" s="37"/>
      <c r="H148" s="176" t="s">
        <v>389</v>
      </c>
      <c r="I148" s="37" t="s">
        <v>255</v>
      </c>
      <c r="J148" s="45">
        <v>93</v>
      </c>
      <c r="K148" s="45">
        <f aca="true" t="shared" si="45" ref="K148:T148">K149</f>
        <v>255</v>
      </c>
      <c r="L148" s="45">
        <f t="shared" si="45"/>
        <v>155</v>
      </c>
      <c r="M148" s="45">
        <f t="shared" si="45"/>
        <v>155</v>
      </c>
      <c r="N148" s="45">
        <f t="shared" si="45"/>
        <v>155</v>
      </c>
      <c r="O148" s="45">
        <f t="shared" si="45"/>
        <v>155</v>
      </c>
      <c r="P148" s="45">
        <f t="shared" si="45"/>
        <v>155</v>
      </c>
      <c r="Q148" s="45">
        <f t="shared" si="45"/>
        <v>155</v>
      </c>
      <c r="R148" s="45">
        <f t="shared" si="45"/>
        <v>155</v>
      </c>
      <c r="S148" s="45">
        <f t="shared" si="45"/>
        <v>155</v>
      </c>
      <c r="T148" s="45">
        <f t="shared" si="45"/>
        <v>155</v>
      </c>
      <c r="U148" s="45">
        <f>J148+K148+L148+M148+O148+Q148+R148+S148+T148</f>
        <v>1433</v>
      </c>
      <c r="V148" s="37">
        <v>2024</v>
      </c>
      <c r="W148" s="4">
        <f t="shared" si="41"/>
        <v>0</v>
      </c>
      <c r="X148" s="4">
        <f t="shared" si="42"/>
        <v>0</v>
      </c>
      <c r="Y148" s="4"/>
      <c r="Z148" s="3"/>
    </row>
    <row r="149" spans="1:26" s="7" customFormat="1" ht="12.75">
      <c r="A149" s="33" t="s">
        <v>254</v>
      </c>
      <c r="B149" s="34">
        <v>1</v>
      </c>
      <c r="C149" s="34">
        <v>1</v>
      </c>
      <c r="D149" s="34">
        <v>5</v>
      </c>
      <c r="E149" s="34">
        <v>0</v>
      </c>
      <c r="F149" s="34">
        <v>2</v>
      </c>
      <c r="G149" s="34">
        <v>3</v>
      </c>
      <c r="H149" s="51" t="s">
        <v>256</v>
      </c>
      <c r="I149" s="34" t="s">
        <v>255</v>
      </c>
      <c r="J149" s="53">
        <v>93</v>
      </c>
      <c r="K149" s="53">
        <v>255</v>
      </c>
      <c r="L149" s="53">
        <v>155</v>
      </c>
      <c r="M149" s="53">
        <v>155</v>
      </c>
      <c r="N149" s="53">
        <v>155</v>
      </c>
      <c r="O149" s="52">
        <v>155</v>
      </c>
      <c r="P149" s="52">
        <v>155</v>
      </c>
      <c r="Q149" s="52">
        <v>155</v>
      </c>
      <c r="R149" s="53">
        <v>155</v>
      </c>
      <c r="S149" s="53">
        <v>155</v>
      </c>
      <c r="T149" s="53">
        <v>155</v>
      </c>
      <c r="U149" s="53">
        <f>J149+K149+L149+M149+O149+Q149+R149+S149+T149</f>
        <v>1433</v>
      </c>
      <c r="V149" s="88">
        <v>2024</v>
      </c>
      <c r="W149" s="4">
        <f t="shared" si="41"/>
        <v>0</v>
      </c>
      <c r="X149" s="4">
        <f t="shared" si="42"/>
        <v>0</v>
      </c>
      <c r="Y149" s="4"/>
      <c r="Z149" s="3"/>
    </row>
    <row r="150" spans="1:24" ht="38.25">
      <c r="A150" s="33" t="s">
        <v>254</v>
      </c>
      <c r="B150" s="34">
        <v>1</v>
      </c>
      <c r="C150" s="34">
        <v>1</v>
      </c>
      <c r="D150" s="34">
        <v>5</v>
      </c>
      <c r="E150" s="34">
        <v>0</v>
      </c>
      <c r="F150" s="34">
        <v>2</v>
      </c>
      <c r="G150" s="35"/>
      <c r="H150" s="54" t="s">
        <v>241</v>
      </c>
      <c r="I150" s="35" t="s">
        <v>294</v>
      </c>
      <c r="J150" s="48">
        <v>6</v>
      </c>
      <c r="K150" s="48">
        <f>7+6</f>
        <v>13</v>
      </c>
      <c r="L150" s="48">
        <v>8</v>
      </c>
      <c r="M150" s="97">
        <v>7</v>
      </c>
      <c r="N150" s="97">
        <v>10</v>
      </c>
      <c r="O150" s="70">
        <v>10</v>
      </c>
      <c r="P150" s="70">
        <v>14</v>
      </c>
      <c r="Q150" s="70">
        <v>14</v>
      </c>
      <c r="R150" s="70">
        <v>14</v>
      </c>
      <c r="S150" s="70">
        <v>14</v>
      </c>
      <c r="T150" s="70">
        <v>14</v>
      </c>
      <c r="U150" s="48">
        <f>SUM(J150:T150)</f>
        <v>124</v>
      </c>
      <c r="V150" s="90">
        <v>2024</v>
      </c>
      <c r="W150" s="4">
        <f t="shared" si="41"/>
        <v>0</v>
      </c>
      <c r="X150" s="4">
        <f t="shared" si="42"/>
        <v>0</v>
      </c>
    </row>
    <row r="151" spans="1:24" ht="89.25">
      <c r="A151" s="33" t="s">
        <v>254</v>
      </c>
      <c r="B151" s="34">
        <v>1</v>
      </c>
      <c r="C151" s="34">
        <v>1</v>
      </c>
      <c r="D151" s="34">
        <v>5</v>
      </c>
      <c r="E151" s="34">
        <v>0</v>
      </c>
      <c r="F151" s="34">
        <v>2</v>
      </c>
      <c r="G151" s="35"/>
      <c r="H151" s="54" t="s">
        <v>77</v>
      </c>
      <c r="I151" s="35" t="s">
        <v>294</v>
      </c>
      <c r="J151" s="48">
        <v>5</v>
      </c>
      <c r="K151" s="48">
        <f>6-1</f>
        <v>5</v>
      </c>
      <c r="L151" s="48">
        <v>6</v>
      </c>
      <c r="M151" s="97">
        <v>12</v>
      </c>
      <c r="N151" s="97">
        <v>7</v>
      </c>
      <c r="O151" s="70">
        <v>7</v>
      </c>
      <c r="P151" s="70">
        <v>10</v>
      </c>
      <c r="Q151" s="70">
        <v>10</v>
      </c>
      <c r="R151" s="70">
        <v>10</v>
      </c>
      <c r="S151" s="70">
        <v>10</v>
      </c>
      <c r="T151" s="70">
        <v>10</v>
      </c>
      <c r="U151" s="48">
        <f>SUM(J151:T151)</f>
        <v>92</v>
      </c>
      <c r="V151" s="90">
        <v>2024</v>
      </c>
      <c r="W151" s="4">
        <f t="shared" si="41"/>
        <v>0</v>
      </c>
      <c r="X151" s="4">
        <f t="shared" si="42"/>
        <v>0</v>
      </c>
    </row>
    <row r="152" spans="1:24" ht="51">
      <c r="A152" s="33" t="s">
        <v>254</v>
      </c>
      <c r="B152" s="34">
        <v>1</v>
      </c>
      <c r="C152" s="34">
        <v>1</v>
      </c>
      <c r="D152" s="34">
        <v>5</v>
      </c>
      <c r="E152" s="34">
        <v>0</v>
      </c>
      <c r="F152" s="34">
        <v>2</v>
      </c>
      <c r="G152" s="35"/>
      <c r="H152" s="54" t="s">
        <v>115</v>
      </c>
      <c r="I152" s="35" t="s">
        <v>283</v>
      </c>
      <c r="J152" s="48">
        <v>45</v>
      </c>
      <c r="K152" s="48">
        <v>100</v>
      </c>
      <c r="L152" s="48">
        <v>260</v>
      </c>
      <c r="M152" s="97">
        <v>252</v>
      </c>
      <c r="N152" s="97">
        <v>100</v>
      </c>
      <c r="O152" s="70">
        <v>100</v>
      </c>
      <c r="P152" s="70">
        <v>120</v>
      </c>
      <c r="Q152" s="70">
        <v>120</v>
      </c>
      <c r="R152" s="70">
        <v>120</v>
      </c>
      <c r="S152" s="70">
        <v>120</v>
      </c>
      <c r="T152" s="70">
        <v>120</v>
      </c>
      <c r="U152" s="48">
        <f>SUM(J152:T152)</f>
        <v>1457</v>
      </c>
      <c r="V152" s="90">
        <v>2024</v>
      </c>
      <c r="W152" s="4">
        <f t="shared" si="41"/>
        <v>0</v>
      </c>
      <c r="X152" s="4">
        <f t="shared" si="42"/>
        <v>0</v>
      </c>
    </row>
    <row r="153" spans="1:26" s="7" customFormat="1" ht="89.25">
      <c r="A153" s="36" t="s">
        <v>254</v>
      </c>
      <c r="B153" s="37">
        <v>1</v>
      </c>
      <c r="C153" s="37">
        <v>1</v>
      </c>
      <c r="D153" s="37">
        <v>5</v>
      </c>
      <c r="E153" s="37">
        <v>0</v>
      </c>
      <c r="F153" s="37">
        <v>3</v>
      </c>
      <c r="G153" s="37"/>
      <c r="H153" s="176" t="s">
        <v>390</v>
      </c>
      <c r="I153" s="37" t="s">
        <v>255</v>
      </c>
      <c r="J153" s="45">
        <f aca="true" t="shared" si="46" ref="J153:T153">J154</f>
        <v>295</v>
      </c>
      <c r="K153" s="45">
        <f t="shared" si="46"/>
        <v>188</v>
      </c>
      <c r="L153" s="45">
        <f t="shared" si="46"/>
        <v>188</v>
      </c>
      <c r="M153" s="45">
        <f t="shared" si="46"/>
        <v>188</v>
      </c>
      <c r="N153" s="45">
        <f t="shared" si="46"/>
        <v>188</v>
      </c>
      <c r="O153" s="50">
        <f t="shared" si="46"/>
        <v>258.1</v>
      </c>
      <c r="P153" s="50">
        <f t="shared" si="46"/>
        <v>188</v>
      </c>
      <c r="Q153" s="50">
        <f t="shared" si="46"/>
        <v>258.1</v>
      </c>
      <c r="R153" s="50">
        <f t="shared" si="46"/>
        <v>258.1</v>
      </c>
      <c r="S153" s="50">
        <f t="shared" si="46"/>
        <v>258.1</v>
      </c>
      <c r="T153" s="50">
        <f t="shared" si="46"/>
        <v>258.1</v>
      </c>
      <c r="U153" s="45">
        <f aca="true" t="shared" si="47" ref="U153:U164">J153+K153+L153+M153+O153+Q153+R153+S153+T153</f>
        <v>2149.5</v>
      </c>
      <c r="V153" s="37">
        <v>2024</v>
      </c>
      <c r="W153" s="4">
        <f t="shared" si="41"/>
        <v>70.1</v>
      </c>
      <c r="X153" s="4">
        <f t="shared" si="42"/>
        <v>70.1</v>
      </c>
      <c r="Y153" s="4"/>
      <c r="Z153" s="3"/>
    </row>
    <row r="154" spans="1:26" s="7" customFormat="1" ht="12.75">
      <c r="A154" s="33" t="s">
        <v>254</v>
      </c>
      <c r="B154" s="34">
        <v>1</v>
      </c>
      <c r="C154" s="34">
        <v>1</v>
      </c>
      <c r="D154" s="34">
        <v>5</v>
      </c>
      <c r="E154" s="34">
        <v>0</v>
      </c>
      <c r="F154" s="34">
        <v>3</v>
      </c>
      <c r="G154" s="34">
        <v>3</v>
      </c>
      <c r="H154" s="51" t="s">
        <v>256</v>
      </c>
      <c r="I154" s="34" t="s">
        <v>255</v>
      </c>
      <c r="J154" s="53">
        <v>295</v>
      </c>
      <c r="K154" s="53">
        <v>188</v>
      </c>
      <c r="L154" s="53">
        <v>188</v>
      </c>
      <c r="M154" s="65">
        <v>188</v>
      </c>
      <c r="N154" s="65">
        <v>188</v>
      </c>
      <c r="O154" s="67">
        <v>258.1</v>
      </c>
      <c r="P154" s="67">
        <v>188</v>
      </c>
      <c r="Q154" s="67">
        <v>258.1</v>
      </c>
      <c r="R154" s="65">
        <v>258.1</v>
      </c>
      <c r="S154" s="65">
        <v>258.1</v>
      </c>
      <c r="T154" s="65">
        <v>258.1</v>
      </c>
      <c r="U154" s="53">
        <f t="shared" si="47"/>
        <v>2149.5</v>
      </c>
      <c r="V154" s="88">
        <v>2024</v>
      </c>
      <c r="W154" s="4">
        <f t="shared" si="41"/>
        <v>70.1</v>
      </c>
      <c r="X154" s="4">
        <f t="shared" si="42"/>
        <v>70.1</v>
      </c>
      <c r="Y154" s="4"/>
      <c r="Z154" s="3"/>
    </row>
    <row r="155" spans="1:24" ht="51">
      <c r="A155" s="33" t="s">
        <v>254</v>
      </c>
      <c r="B155" s="34">
        <v>1</v>
      </c>
      <c r="C155" s="34">
        <v>1</v>
      </c>
      <c r="D155" s="34">
        <v>5</v>
      </c>
      <c r="E155" s="34">
        <v>0</v>
      </c>
      <c r="F155" s="34">
        <v>3</v>
      </c>
      <c r="G155" s="35"/>
      <c r="H155" s="54" t="s">
        <v>106</v>
      </c>
      <c r="I155" s="35" t="s">
        <v>294</v>
      </c>
      <c r="J155" s="48">
        <v>1</v>
      </c>
      <c r="K155" s="48">
        <v>1</v>
      </c>
      <c r="L155" s="48">
        <v>1</v>
      </c>
      <c r="M155" s="97">
        <v>1</v>
      </c>
      <c r="N155" s="97">
        <v>1</v>
      </c>
      <c r="O155" s="70">
        <v>1</v>
      </c>
      <c r="P155" s="70">
        <v>1</v>
      </c>
      <c r="Q155" s="70">
        <v>1</v>
      </c>
      <c r="R155" s="70">
        <v>1</v>
      </c>
      <c r="S155" s="70">
        <v>1</v>
      </c>
      <c r="T155" s="70">
        <v>1</v>
      </c>
      <c r="U155" s="48">
        <f t="shared" si="47"/>
        <v>9</v>
      </c>
      <c r="V155" s="90">
        <v>2024</v>
      </c>
      <c r="W155" s="4">
        <f t="shared" si="41"/>
        <v>0</v>
      </c>
      <c r="X155" s="4">
        <f t="shared" si="42"/>
        <v>0</v>
      </c>
    </row>
    <row r="156" spans="1:24" ht="51">
      <c r="A156" s="33" t="s">
        <v>254</v>
      </c>
      <c r="B156" s="34">
        <v>1</v>
      </c>
      <c r="C156" s="34">
        <v>1</v>
      </c>
      <c r="D156" s="34">
        <v>5</v>
      </c>
      <c r="E156" s="34">
        <v>0</v>
      </c>
      <c r="F156" s="34">
        <v>3</v>
      </c>
      <c r="G156" s="35"/>
      <c r="H156" s="54" t="s">
        <v>63</v>
      </c>
      <c r="I156" s="35" t="s">
        <v>283</v>
      </c>
      <c r="J156" s="48">
        <v>225</v>
      </c>
      <c r="K156" s="48">
        <v>230</v>
      </c>
      <c r="L156" s="48">
        <v>68</v>
      </c>
      <c r="M156" s="70">
        <v>200</v>
      </c>
      <c r="N156" s="70">
        <v>100</v>
      </c>
      <c r="O156" s="58">
        <v>205</v>
      </c>
      <c r="P156" s="58">
        <v>100</v>
      </c>
      <c r="Q156" s="58">
        <v>205</v>
      </c>
      <c r="R156" s="58">
        <v>205</v>
      </c>
      <c r="S156" s="58">
        <v>205</v>
      </c>
      <c r="T156" s="58">
        <v>205</v>
      </c>
      <c r="U156" s="48">
        <f t="shared" si="47"/>
        <v>1748</v>
      </c>
      <c r="V156" s="90">
        <v>2024</v>
      </c>
      <c r="W156" s="4">
        <f t="shared" si="41"/>
        <v>105</v>
      </c>
      <c r="X156" s="4">
        <f t="shared" si="42"/>
        <v>105</v>
      </c>
    </row>
    <row r="157" spans="1:24" ht="51">
      <c r="A157" s="33" t="s">
        <v>254</v>
      </c>
      <c r="B157" s="34">
        <v>1</v>
      </c>
      <c r="C157" s="34">
        <v>1</v>
      </c>
      <c r="D157" s="34">
        <v>5</v>
      </c>
      <c r="E157" s="34">
        <v>0</v>
      </c>
      <c r="F157" s="34">
        <v>3</v>
      </c>
      <c r="G157" s="35"/>
      <c r="H157" s="54" t="s">
        <v>227</v>
      </c>
      <c r="I157" s="35" t="s">
        <v>294</v>
      </c>
      <c r="J157" s="48">
        <v>1</v>
      </c>
      <c r="K157" s="48">
        <v>1</v>
      </c>
      <c r="L157" s="48">
        <v>1</v>
      </c>
      <c r="M157" s="97">
        <v>1</v>
      </c>
      <c r="N157" s="97">
        <v>1</v>
      </c>
      <c r="O157" s="70">
        <v>1</v>
      </c>
      <c r="P157" s="70">
        <v>1</v>
      </c>
      <c r="Q157" s="70">
        <v>1</v>
      </c>
      <c r="R157" s="70">
        <v>1</v>
      </c>
      <c r="S157" s="70">
        <v>1</v>
      </c>
      <c r="T157" s="70">
        <v>1</v>
      </c>
      <c r="U157" s="48">
        <f t="shared" si="47"/>
        <v>9</v>
      </c>
      <c r="V157" s="90">
        <v>2024</v>
      </c>
      <c r="W157" s="4">
        <f t="shared" si="41"/>
        <v>0</v>
      </c>
      <c r="X157" s="4">
        <f t="shared" si="42"/>
        <v>0</v>
      </c>
    </row>
    <row r="158" spans="1:24" ht="38.25">
      <c r="A158" s="33" t="s">
        <v>254</v>
      </c>
      <c r="B158" s="34">
        <v>1</v>
      </c>
      <c r="C158" s="34">
        <v>1</v>
      </c>
      <c r="D158" s="34">
        <v>5</v>
      </c>
      <c r="E158" s="34">
        <v>0</v>
      </c>
      <c r="F158" s="34">
        <v>3</v>
      </c>
      <c r="G158" s="35"/>
      <c r="H158" s="54" t="s">
        <v>116</v>
      </c>
      <c r="I158" s="35" t="s">
        <v>283</v>
      </c>
      <c r="J158" s="48">
        <v>15</v>
      </c>
      <c r="K158" s="48">
        <f>12+20</f>
        <v>32</v>
      </c>
      <c r="L158" s="48">
        <v>62</v>
      </c>
      <c r="M158" s="70">
        <v>29</v>
      </c>
      <c r="N158" s="70">
        <v>30</v>
      </c>
      <c r="O158" s="70">
        <v>30</v>
      </c>
      <c r="P158" s="70">
        <v>34</v>
      </c>
      <c r="Q158" s="70">
        <v>30</v>
      </c>
      <c r="R158" s="97">
        <v>34</v>
      </c>
      <c r="S158" s="97">
        <v>34</v>
      </c>
      <c r="T158" s="97">
        <v>34</v>
      </c>
      <c r="U158" s="48">
        <f t="shared" si="47"/>
        <v>300</v>
      </c>
      <c r="V158" s="90">
        <v>2024</v>
      </c>
      <c r="W158" s="4">
        <f t="shared" si="41"/>
        <v>0</v>
      </c>
      <c r="X158" s="4">
        <f t="shared" si="42"/>
        <v>-4</v>
      </c>
    </row>
    <row r="159" spans="1:26" s="7" customFormat="1" ht="76.5">
      <c r="A159" s="36" t="s">
        <v>254</v>
      </c>
      <c r="B159" s="37">
        <v>1</v>
      </c>
      <c r="C159" s="37">
        <v>1</v>
      </c>
      <c r="D159" s="37">
        <v>5</v>
      </c>
      <c r="E159" s="37">
        <v>0</v>
      </c>
      <c r="F159" s="37">
        <v>4</v>
      </c>
      <c r="G159" s="37">
        <v>3</v>
      </c>
      <c r="H159" s="49" t="s">
        <v>391</v>
      </c>
      <c r="I159" s="37" t="s">
        <v>255</v>
      </c>
      <c r="J159" s="45">
        <f aca="true" t="shared" si="48" ref="J159:T159">J160</f>
        <v>200</v>
      </c>
      <c r="K159" s="45">
        <f t="shared" si="48"/>
        <v>145</v>
      </c>
      <c r="L159" s="45">
        <f t="shared" si="48"/>
        <v>145</v>
      </c>
      <c r="M159" s="45">
        <f t="shared" si="48"/>
        <v>145</v>
      </c>
      <c r="N159" s="45">
        <f t="shared" si="48"/>
        <v>145</v>
      </c>
      <c r="O159" s="50">
        <f t="shared" si="48"/>
        <v>145</v>
      </c>
      <c r="P159" s="50">
        <f t="shared" si="48"/>
        <v>145</v>
      </c>
      <c r="Q159" s="50">
        <f t="shared" si="48"/>
        <v>145</v>
      </c>
      <c r="R159" s="50">
        <f t="shared" si="48"/>
        <v>145</v>
      </c>
      <c r="S159" s="50">
        <f t="shared" si="48"/>
        <v>145</v>
      </c>
      <c r="T159" s="50">
        <f t="shared" si="48"/>
        <v>145</v>
      </c>
      <c r="U159" s="45">
        <f t="shared" si="47"/>
        <v>1360</v>
      </c>
      <c r="V159" s="37">
        <v>2024</v>
      </c>
      <c r="W159" s="4">
        <f t="shared" si="41"/>
        <v>0</v>
      </c>
      <c r="X159" s="4">
        <f t="shared" si="42"/>
        <v>0</v>
      </c>
      <c r="Y159" s="4"/>
      <c r="Z159" s="3"/>
    </row>
    <row r="160" spans="1:26" s="7" customFormat="1" ht="12.75">
      <c r="A160" s="33" t="s">
        <v>254</v>
      </c>
      <c r="B160" s="34">
        <v>1</v>
      </c>
      <c r="C160" s="34">
        <v>1</v>
      </c>
      <c r="D160" s="34">
        <v>5</v>
      </c>
      <c r="E160" s="34">
        <v>0</v>
      </c>
      <c r="F160" s="34">
        <v>4</v>
      </c>
      <c r="G160" s="34">
        <v>3</v>
      </c>
      <c r="H160" s="51" t="s">
        <v>256</v>
      </c>
      <c r="I160" s="34" t="s">
        <v>255</v>
      </c>
      <c r="J160" s="53">
        <v>200</v>
      </c>
      <c r="K160" s="53">
        <v>145</v>
      </c>
      <c r="L160" s="53">
        <v>145</v>
      </c>
      <c r="M160" s="65">
        <v>145</v>
      </c>
      <c r="N160" s="65">
        <v>145</v>
      </c>
      <c r="O160" s="67">
        <v>145</v>
      </c>
      <c r="P160" s="67">
        <v>145</v>
      </c>
      <c r="Q160" s="67">
        <v>145</v>
      </c>
      <c r="R160" s="65">
        <v>145</v>
      </c>
      <c r="S160" s="65">
        <v>145</v>
      </c>
      <c r="T160" s="65">
        <v>145</v>
      </c>
      <c r="U160" s="53">
        <f t="shared" si="47"/>
        <v>1360</v>
      </c>
      <c r="V160" s="88">
        <v>2024</v>
      </c>
      <c r="W160" s="4">
        <f t="shared" si="41"/>
        <v>0</v>
      </c>
      <c r="X160" s="4">
        <f t="shared" si="42"/>
        <v>0</v>
      </c>
      <c r="Y160" s="4"/>
      <c r="Z160" s="3"/>
    </row>
    <row r="161" spans="1:24" ht="63.75">
      <c r="A161" s="33" t="s">
        <v>254</v>
      </c>
      <c r="B161" s="34">
        <v>1</v>
      </c>
      <c r="C161" s="34">
        <v>1</v>
      </c>
      <c r="D161" s="34">
        <v>5</v>
      </c>
      <c r="E161" s="34">
        <v>0</v>
      </c>
      <c r="F161" s="34">
        <v>4</v>
      </c>
      <c r="G161" s="35"/>
      <c r="H161" s="54" t="s">
        <v>117</v>
      </c>
      <c r="I161" s="35" t="s">
        <v>294</v>
      </c>
      <c r="J161" s="48">
        <v>6</v>
      </c>
      <c r="K161" s="48">
        <v>7</v>
      </c>
      <c r="L161" s="48">
        <v>11</v>
      </c>
      <c r="M161" s="97">
        <v>4</v>
      </c>
      <c r="N161" s="97">
        <v>7</v>
      </c>
      <c r="O161" s="70">
        <v>7</v>
      </c>
      <c r="P161" s="70">
        <v>7</v>
      </c>
      <c r="Q161" s="70">
        <v>7</v>
      </c>
      <c r="R161" s="70">
        <v>7</v>
      </c>
      <c r="S161" s="70">
        <v>7</v>
      </c>
      <c r="T161" s="70">
        <v>7</v>
      </c>
      <c r="U161" s="48">
        <f t="shared" si="47"/>
        <v>63</v>
      </c>
      <c r="V161" s="90">
        <v>2024</v>
      </c>
      <c r="W161" s="4">
        <f t="shared" si="41"/>
        <v>0</v>
      </c>
      <c r="X161" s="4">
        <f t="shared" si="42"/>
        <v>0</v>
      </c>
    </row>
    <row r="162" spans="1:24" ht="51">
      <c r="A162" s="33" t="s">
        <v>254</v>
      </c>
      <c r="B162" s="34">
        <v>1</v>
      </c>
      <c r="C162" s="34">
        <v>1</v>
      </c>
      <c r="D162" s="34">
        <v>5</v>
      </c>
      <c r="E162" s="34">
        <v>0</v>
      </c>
      <c r="F162" s="34">
        <v>4</v>
      </c>
      <c r="G162" s="35"/>
      <c r="H162" s="54" t="s">
        <v>226</v>
      </c>
      <c r="I162" s="35" t="s">
        <v>294</v>
      </c>
      <c r="J162" s="48">
        <v>4</v>
      </c>
      <c r="K162" s="48">
        <v>4</v>
      </c>
      <c r="L162" s="48">
        <v>9</v>
      </c>
      <c r="M162" s="97">
        <v>9</v>
      </c>
      <c r="N162" s="97">
        <v>2</v>
      </c>
      <c r="O162" s="70">
        <v>2</v>
      </c>
      <c r="P162" s="70">
        <v>2</v>
      </c>
      <c r="Q162" s="70">
        <v>2</v>
      </c>
      <c r="R162" s="70">
        <v>2</v>
      </c>
      <c r="S162" s="70">
        <v>2</v>
      </c>
      <c r="T162" s="70">
        <v>2</v>
      </c>
      <c r="U162" s="48">
        <f t="shared" si="47"/>
        <v>36</v>
      </c>
      <c r="V162" s="90">
        <v>2024</v>
      </c>
      <c r="W162" s="4">
        <f t="shared" si="41"/>
        <v>0</v>
      </c>
      <c r="X162" s="4">
        <f t="shared" si="42"/>
        <v>0</v>
      </c>
    </row>
    <row r="163" spans="1:26" s="7" customFormat="1" ht="38.25">
      <c r="A163" s="31" t="s">
        <v>254</v>
      </c>
      <c r="B163" s="32">
        <v>1</v>
      </c>
      <c r="C163" s="32">
        <v>1</v>
      </c>
      <c r="D163" s="32">
        <v>6</v>
      </c>
      <c r="E163" s="32">
        <v>0</v>
      </c>
      <c r="F163" s="32">
        <v>0</v>
      </c>
      <c r="G163" s="32"/>
      <c r="H163" s="30" t="s">
        <v>308</v>
      </c>
      <c r="I163" s="32" t="s">
        <v>255</v>
      </c>
      <c r="J163" s="68">
        <f aca="true" t="shared" si="49" ref="J163:T163">J164</f>
        <v>4523</v>
      </c>
      <c r="K163" s="68">
        <f t="shared" si="49"/>
        <v>6768</v>
      </c>
      <c r="L163" s="68">
        <f t="shared" si="49"/>
        <v>6527.3</v>
      </c>
      <c r="M163" s="68">
        <f t="shared" si="49"/>
        <v>6852.1</v>
      </c>
      <c r="N163" s="68">
        <f t="shared" si="49"/>
        <v>6146.9</v>
      </c>
      <c r="O163" s="68">
        <f t="shared" si="49"/>
        <v>9366.1</v>
      </c>
      <c r="P163" s="68">
        <f t="shared" si="49"/>
        <v>6553.9</v>
      </c>
      <c r="Q163" s="68">
        <f t="shared" si="49"/>
        <v>9366.1</v>
      </c>
      <c r="R163" s="68">
        <f t="shared" si="49"/>
        <v>9366.1</v>
      </c>
      <c r="S163" s="68">
        <f t="shared" si="49"/>
        <v>9366.1</v>
      </c>
      <c r="T163" s="68">
        <f t="shared" si="49"/>
        <v>9366.1</v>
      </c>
      <c r="U163" s="68">
        <f t="shared" si="47"/>
        <v>71500.9</v>
      </c>
      <c r="V163" s="32">
        <v>2024</v>
      </c>
      <c r="W163" s="4">
        <f t="shared" si="41"/>
        <v>3219.2</v>
      </c>
      <c r="X163" s="4">
        <f t="shared" si="42"/>
        <v>2812.2</v>
      </c>
      <c r="Y163" s="4"/>
      <c r="Z163" s="3"/>
    </row>
    <row r="164" spans="1:26" s="7" customFormat="1" ht="12.75">
      <c r="A164" s="33" t="s">
        <v>254</v>
      </c>
      <c r="B164" s="34">
        <v>1</v>
      </c>
      <c r="C164" s="34">
        <v>1</v>
      </c>
      <c r="D164" s="34">
        <v>6</v>
      </c>
      <c r="E164" s="34">
        <v>0</v>
      </c>
      <c r="F164" s="34">
        <v>0</v>
      </c>
      <c r="G164" s="34">
        <v>3</v>
      </c>
      <c r="H164" s="51" t="s">
        <v>256</v>
      </c>
      <c r="I164" s="34" t="s">
        <v>255</v>
      </c>
      <c r="J164" s="53">
        <f aca="true" t="shared" si="50" ref="J164:T164">J172+J181+J185</f>
        <v>4523</v>
      </c>
      <c r="K164" s="53">
        <f t="shared" si="50"/>
        <v>6768</v>
      </c>
      <c r="L164" s="53">
        <f t="shared" si="50"/>
        <v>6527.3</v>
      </c>
      <c r="M164" s="65">
        <f t="shared" si="50"/>
        <v>6852.1</v>
      </c>
      <c r="N164" s="65">
        <f>N172+N181+N185</f>
        <v>6146.9</v>
      </c>
      <c r="O164" s="65">
        <f t="shared" si="50"/>
        <v>9366.1</v>
      </c>
      <c r="P164" s="65">
        <f>P172+P181+P185</f>
        <v>6553.9</v>
      </c>
      <c r="Q164" s="65">
        <f t="shared" si="50"/>
        <v>9366.1</v>
      </c>
      <c r="R164" s="65">
        <f t="shared" si="50"/>
        <v>9366.1</v>
      </c>
      <c r="S164" s="65">
        <f t="shared" si="50"/>
        <v>9366.1</v>
      </c>
      <c r="T164" s="65">
        <f t="shared" si="50"/>
        <v>9366.1</v>
      </c>
      <c r="U164" s="53">
        <f t="shared" si="47"/>
        <v>71500.9</v>
      </c>
      <c r="V164" s="88">
        <v>2024</v>
      </c>
      <c r="W164" s="4">
        <f t="shared" si="41"/>
        <v>3219.2</v>
      </c>
      <c r="X164" s="4">
        <f t="shared" si="42"/>
        <v>2812.2</v>
      </c>
      <c r="Y164" s="4"/>
      <c r="Z164" s="3"/>
    </row>
    <row r="165" spans="1:24" ht="25.5">
      <c r="A165" s="33" t="s">
        <v>254</v>
      </c>
      <c r="B165" s="34">
        <v>1</v>
      </c>
      <c r="C165" s="34">
        <v>1</v>
      </c>
      <c r="D165" s="34">
        <v>6</v>
      </c>
      <c r="E165" s="34">
        <v>0</v>
      </c>
      <c r="F165" s="34">
        <v>0</v>
      </c>
      <c r="G165" s="35"/>
      <c r="H165" s="39" t="s">
        <v>309</v>
      </c>
      <c r="I165" s="35" t="s">
        <v>310</v>
      </c>
      <c r="J165" s="48">
        <v>9</v>
      </c>
      <c r="K165" s="48">
        <v>9</v>
      </c>
      <c r="L165" s="48">
        <v>9</v>
      </c>
      <c r="M165" s="97">
        <v>9</v>
      </c>
      <c r="N165" s="97">
        <v>9</v>
      </c>
      <c r="O165" s="70">
        <v>9</v>
      </c>
      <c r="P165" s="70">
        <v>9</v>
      </c>
      <c r="Q165" s="70">
        <v>9</v>
      </c>
      <c r="R165" s="70">
        <v>9</v>
      </c>
      <c r="S165" s="70">
        <v>9</v>
      </c>
      <c r="T165" s="70">
        <v>9</v>
      </c>
      <c r="U165" s="48">
        <v>9</v>
      </c>
      <c r="V165" s="90">
        <v>2024</v>
      </c>
      <c r="W165" s="4">
        <f t="shared" si="41"/>
        <v>0</v>
      </c>
      <c r="X165" s="4">
        <f t="shared" si="42"/>
        <v>0</v>
      </c>
    </row>
    <row r="166" spans="1:24" ht="76.5">
      <c r="A166" s="33" t="s">
        <v>254</v>
      </c>
      <c r="B166" s="34">
        <v>1</v>
      </c>
      <c r="C166" s="34">
        <v>1</v>
      </c>
      <c r="D166" s="34">
        <v>6</v>
      </c>
      <c r="E166" s="34">
        <v>0</v>
      </c>
      <c r="F166" s="34">
        <v>0</v>
      </c>
      <c r="G166" s="35"/>
      <c r="H166" s="39" t="s">
        <v>118</v>
      </c>
      <c r="I166" s="35" t="s">
        <v>260</v>
      </c>
      <c r="J166" s="96">
        <f>J164/J9*100</f>
        <v>0.4</v>
      </c>
      <c r="K166" s="96">
        <f>K164/K9*100</f>
        <v>0.6</v>
      </c>
      <c r="L166" s="96">
        <f>L164/L9*100</f>
        <v>0.5</v>
      </c>
      <c r="M166" s="100">
        <v>0.4</v>
      </c>
      <c r="N166" s="100">
        <v>0.4</v>
      </c>
      <c r="O166" s="80">
        <v>0.6</v>
      </c>
      <c r="P166" s="80">
        <v>0.5</v>
      </c>
      <c r="Q166" s="80">
        <v>0.6</v>
      </c>
      <c r="R166" s="66">
        <v>0.6</v>
      </c>
      <c r="S166" s="66">
        <v>0.6</v>
      </c>
      <c r="T166" s="66">
        <v>0.6</v>
      </c>
      <c r="U166" s="96">
        <v>0.6</v>
      </c>
      <c r="V166" s="90">
        <v>2024</v>
      </c>
      <c r="W166" s="4">
        <f t="shared" si="41"/>
        <v>0.2</v>
      </c>
      <c r="X166" s="4">
        <f t="shared" si="42"/>
        <v>0.1</v>
      </c>
    </row>
    <row r="167" spans="1:26" s="10" customFormat="1" ht="114.75">
      <c r="A167" s="33" t="s">
        <v>254</v>
      </c>
      <c r="B167" s="34">
        <v>1</v>
      </c>
      <c r="C167" s="34">
        <v>1</v>
      </c>
      <c r="D167" s="34">
        <v>6</v>
      </c>
      <c r="E167" s="34">
        <v>0</v>
      </c>
      <c r="F167" s="34">
        <v>0</v>
      </c>
      <c r="G167" s="35"/>
      <c r="H167" s="54" t="s">
        <v>119</v>
      </c>
      <c r="I167" s="35" t="s">
        <v>260</v>
      </c>
      <c r="J167" s="104">
        <v>0</v>
      </c>
      <c r="K167" s="104">
        <v>0</v>
      </c>
      <c r="L167" s="42">
        <v>50</v>
      </c>
      <c r="M167" s="63">
        <v>60</v>
      </c>
      <c r="N167" s="63">
        <v>70</v>
      </c>
      <c r="O167" s="41">
        <v>70</v>
      </c>
      <c r="P167" s="41">
        <v>70</v>
      </c>
      <c r="Q167" s="41">
        <v>70</v>
      </c>
      <c r="R167" s="41">
        <v>70</v>
      </c>
      <c r="S167" s="41">
        <v>70</v>
      </c>
      <c r="T167" s="41">
        <v>70</v>
      </c>
      <c r="U167" s="42">
        <v>70</v>
      </c>
      <c r="V167" s="90">
        <v>2024</v>
      </c>
      <c r="W167" s="4">
        <f t="shared" si="41"/>
        <v>0</v>
      </c>
      <c r="X167" s="4">
        <f t="shared" si="42"/>
        <v>0</v>
      </c>
      <c r="Y167" s="9"/>
      <c r="Z167" s="9"/>
    </row>
    <row r="168" spans="1:24" ht="63.75">
      <c r="A168" s="36" t="s">
        <v>254</v>
      </c>
      <c r="B168" s="37">
        <v>1</v>
      </c>
      <c r="C168" s="37">
        <v>1</v>
      </c>
      <c r="D168" s="37">
        <v>6</v>
      </c>
      <c r="E168" s="37">
        <v>0</v>
      </c>
      <c r="F168" s="37">
        <v>1</v>
      </c>
      <c r="G168" s="38"/>
      <c r="H168" s="43" t="s">
        <v>145</v>
      </c>
      <c r="I168" s="38" t="s">
        <v>279</v>
      </c>
      <c r="J168" s="44" t="s">
        <v>280</v>
      </c>
      <c r="K168" s="44" t="s">
        <v>280</v>
      </c>
      <c r="L168" s="44" t="s">
        <v>280</v>
      </c>
      <c r="M168" s="46" t="s">
        <v>280</v>
      </c>
      <c r="N168" s="46" t="s">
        <v>280</v>
      </c>
      <c r="O168" s="46" t="s">
        <v>280</v>
      </c>
      <c r="P168" s="46" t="s">
        <v>280</v>
      </c>
      <c r="Q168" s="46" t="s">
        <v>280</v>
      </c>
      <c r="R168" s="46" t="s">
        <v>280</v>
      </c>
      <c r="S168" s="46" t="s">
        <v>280</v>
      </c>
      <c r="T168" s="46" t="s">
        <v>280</v>
      </c>
      <c r="U168" s="46" t="s">
        <v>280</v>
      </c>
      <c r="V168" s="38">
        <v>2024</v>
      </c>
      <c r="W168" s="4"/>
      <c r="X168" s="4"/>
    </row>
    <row r="169" spans="1:24" ht="38.25">
      <c r="A169" s="33" t="s">
        <v>254</v>
      </c>
      <c r="B169" s="34">
        <v>1</v>
      </c>
      <c r="C169" s="34">
        <v>1</v>
      </c>
      <c r="D169" s="34">
        <v>6</v>
      </c>
      <c r="E169" s="34">
        <v>0</v>
      </c>
      <c r="F169" s="34">
        <v>1</v>
      </c>
      <c r="G169" s="35"/>
      <c r="H169" s="39" t="s">
        <v>67</v>
      </c>
      <c r="I169" s="35" t="s">
        <v>294</v>
      </c>
      <c r="J169" s="48">
        <v>29</v>
      </c>
      <c r="K169" s="48">
        <v>28</v>
      </c>
      <c r="L169" s="48">
        <v>28</v>
      </c>
      <c r="M169" s="97">
        <v>28</v>
      </c>
      <c r="N169" s="97">
        <v>28</v>
      </c>
      <c r="O169" s="70">
        <v>28</v>
      </c>
      <c r="P169" s="70">
        <v>28</v>
      </c>
      <c r="Q169" s="70">
        <v>28</v>
      </c>
      <c r="R169" s="70">
        <v>28</v>
      </c>
      <c r="S169" s="70">
        <v>28</v>
      </c>
      <c r="T169" s="70">
        <v>28</v>
      </c>
      <c r="U169" s="48">
        <v>28</v>
      </c>
      <c r="V169" s="90">
        <v>2024</v>
      </c>
      <c r="W169" s="4">
        <f t="shared" si="41"/>
        <v>0</v>
      </c>
      <c r="X169" s="4">
        <f t="shared" si="42"/>
        <v>0</v>
      </c>
    </row>
    <row r="170" spans="1:24" ht="51">
      <c r="A170" s="33" t="s">
        <v>254</v>
      </c>
      <c r="B170" s="34">
        <v>1</v>
      </c>
      <c r="C170" s="34">
        <v>1</v>
      </c>
      <c r="D170" s="34">
        <v>6</v>
      </c>
      <c r="E170" s="34">
        <v>0</v>
      </c>
      <c r="F170" s="34">
        <v>1</v>
      </c>
      <c r="G170" s="35"/>
      <c r="H170" s="39" t="s">
        <v>311</v>
      </c>
      <c r="I170" s="35" t="s">
        <v>294</v>
      </c>
      <c r="J170" s="48">
        <v>1</v>
      </c>
      <c r="K170" s="48">
        <v>1</v>
      </c>
      <c r="L170" s="48">
        <v>2</v>
      </c>
      <c r="M170" s="97">
        <v>2</v>
      </c>
      <c r="N170" s="97">
        <v>2</v>
      </c>
      <c r="O170" s="70">
        <v>2</v>
      </c>
      <c r="P170" s="70">
        <v>2</v>
      </c>
      <c r="Q170" s="70">
        <v>2</v>
      </c>
      <c r="R170" s="70">
        <v>2</v>
      </c>
      <c r="S170" s="70">
        <v>2</v>
      </c>
      <c r="T170" s="70">
        <v>2</v>
      </c>
      <c r="U170" s="48">
        <f>SUM(J170:T170)</f>
        <v>20</v>
      </c>
      <c r="V170" s="90">
        <v>2024</v>
      </c>
      <c r="W170" s="4">
        <f t="shared" si="41"/>
        <v>0</v>
      </c>
      <c r="X170" s="4">
        <f t="shared" si="42"/>
        <v>0</v>
      </c>
    </row>
    <row r="171" spans="1:26" s="7" customFormat="1" ht="63.75">
      <c r="A171" s="36" t="s">
        <v>254</v>
      </c>
      <c r="B171" s="37">
        <v>1</v>
      </c>
      <c r="C171" s="37">
        <v>1</v>
      </c>
      <c r="D171" s="37">
        <v>6</v>
      </c>
      <c r="E171" s="37">
        <v>0</v>
      </c>
      <c r="F171" s="37">
        <v>2</v>
      </c>
      <c r="G171" s="37"/>
      <c r="H171" s="49" t="s">
        <v>392</v>
      </c>
      <c r="I171" s="37" t="s">
        <v>255</v>
      </c>
      <c r="J171" s="45">
        <f aca="true" t="shared" si="51" ref="J171:T171">J172</f>
        <v>2296.3</v>
      </c>
      <c r="K171" s="45">
        <f t="shared" si="51"/>
        <v>4455.4</v>
      </c>
      <c r="L171" s="45">
        <f t="shared" si="51"/>
        <v>4464.7</v>
      </c>
      <c r="M171" s="50">
        <f t="shared" si="51"/>
        <v>4656.2</v>
      </c>
      <c r="N171" s="50">
        <f t="shared" si="51"/>
        <v>4357</v>
      </c>
      <c r="O171" s="50">
        <f t="shared" si="51"/>
        <v>4651.8</v>
      </c>
      <c r="P171" s="50">
        <f t="shared" si="51"/>
        <v>4357</v>
      </c>
      <c r="Q171" s="50">
        <f t="shared" si="51"/>
        <v>4651.8</v>
      </c>
      <c r="R171" s="50">
        <f t="shared" si="51"/>
        <v>4651.8</v>
      </c>
      <c r="S171" s="50">
        <f t="shared" si="51"/>
        <v>4651.8</v>
      </c>
      <c r="T171" s="50">
        <f t="shared" si="51"/>
        <v>4651.8</v>
      </c>
      <c r="U171" s="45">
        <f>J171+K171+L171+M171+O171+Q171+R171+S171+T171</f>
        <v>39131.6</v>
      </c>
      <c r="V171" s="37">
        <v>2024</v>
      </c>
      <c r="W171" s="4">
        <f t="shared" si="41"/>
        <v>294.8</v>
      </c>
      <c r="X171" s="4">
        <f t="shared" si="42"/>
        <v>294.8</v>
      </c>
      <c r="Y171" s="4"/>
      <c r="Z171" s="3"/>
    </row>
    <row r="172" spans="1:26" s="7" customFormat="1" ht="12.75">
      <c r="A172" s="33" t="s">
        <v>254</v>
      </c>
      <c r="B172" s="34">
        <v>1</v>
      </c>
      <c r="C172" s="34">
        <v>1</v>
      </c>
      <c r="D172" s="34">
        <v>6</v>
      </c>
      <c r="E172" s="34">
        <v>0</v>
      </c>
      <c r="F172" s="34">
        <v>2</v>
      </c>
      <c r="G172" s="34">
        <v>3</v>
      </c>
      <c r="H172" s="51" t="s">
        <v>256</v>
      </c>
      <c r="I172" s="34" t="s">
        <v>255</v>
      </c>
      <c r="J172" s="53">
        <f>1855+668-226.7</f>
        <v>2296.3</v>
      </c>
      <c r="K172" s="53">
        <v>4455.4</v>
      </c>
      <c r="L172" s="53">
        <v>4464.7</v>
      </c>
      <c r="M172" s="65">
        <v>4656.2</v>
      </c>
      <c r="N172" s="65">
        <v>4357</v>
      </c>
      <c r="O172" s="67">
        <v>4651.8</v>
      </c>
      <c r="P172" s="67">
        <v>4357</v>
      </c>
      <c r="Q172" s="67">
        <v>4651.8</v>
      </c>
      <c r="R172" s="65">
        <v>4651.8</v>
      </c>
      <c r="S172" s="65">
        <v>4651.8</v>
      </c>
      <c r="T172" s="65">
        <v>4651.8</v>
      </c>
      <c r="U172" s="53">
        <f>J172+K172+L172+M172+O172+Q172+R172+S172+T172</f>
        <v>39131.6</v>
      </c>
      <c r="V172" s="88">
        <v>2024</v>
      </c>
      <c r="W172" s="4">
        <f t="shared" si="41"/>
        <v>294.8</v>
      </c>
      <c r="X172" s="4">
        <f t="shared" si="42"/>
        <v>294.8</v>
      </c>
      <c r="Y172" s="4"/>
      <c r="Z172" s="3"/>
    </row>
    <row r="173" spans="1:24" ht="63.75">
      <c r="A173" s="33" t="s">
        <v>254</v>
      </c>
      <c r="B173" s="34">
        <v>1</v>
      </c>
      <c r="C173" s="34">
        <v>1</v>
      </c>
      <c r="D173" s="34">
        <v>6</v>
      </c>
      <c r="E173" s="34">
        <v>0</v>
      </c>
      <c r="F173" s="34">
        <v>2</v>
      </c>
      <c r="G173" s="35"/>
      <c r="H173" s="54" t="s">
        <v>312</v>
      </c>
      <c r="I173" s="35" t="s">
        <v>283</v>
      </c>
      <c r="J173" s="48">
        <v>2700</v>
      </c>
      <c r="K173" s="48">
        <f>2750+5</f>
        <v>2755</v>
      </c>
      <c r="L173" s="48">
        <v>4310</v>
      </c>
      <c r="M173" s="58">
        <v>4314</v>
      </c>
      <c r="N173" s="58">
        <v>2950</v>
      </c>
      <c r="O173" s="58">
        <v>4320</v>
      </c>
      <c r="P173" s="58">
        <v>3000</v>
      </c>
      <c r="Q173" s="58">
        <v>4325</v>
      </c>
      <c r="R173" s="58">
        <v>4330</v>
      </c>
      <c r="S173" s="58">
        <v>4330</v>
      </c>
      <c r="T173" s="58">
        <v>4330</v>
      </c>
      <c r="U173" s="58">
        <f>J173+K173+L173+M173+O173+Q173+R173+S173+T173</f>
        <v>35714</v>
      </c>
      <c r="V173" s="90">
        <v>2024</v>
      </c>
      <c r="W173" s="4">
        <f t="shared" si="41"/>
        <v>1370</v>
      </c>
      <c r="X173" s="4">
        <f t="shared" si="42"/>
        <v>1325</v>
      </c>
    </row>
    <row r="174" spans="1:24" ht="25.5">
      <c r="A174" s="33" t="s">
        <v>254</v>
      </c>
      <c r="B174" s="34">
        <v>1</v>
      </c>
      <c r="C174" s="34">
        <v>1</v>
      </c>
      <c r="D174" s="34">
        <v>6</v>
      </c>
      <c r="E174" s="34">
        <v>0</v>
      </c>
      <c r="F174" s="34">
        <v>2</v>
      </c>
      <c r="G174" s="35"/>
      <c r="H174" s="54" t="s">
        <v>313</v>
      </c>
      <c r="I174" s="35" t="s">
        <v>294</v>
      </c>
      <c r="J174" s="48">
        <v>2</v>
      </c>
      <c r="K174" s="48">
        <v>2</v>
      </c>
      <c r="L174" s="48">
        <v>2</v>
      </c>
      <c r="M174" s="58">
        <v>2</v>
      </c>
      <c r="N174" s="58">
        <v>2</v>
      </c>
      <c r="O174" s="58">
        <v>2</v>
      </c>
      <c r="P174" s="58">
        <v>2</v>
      </c>
      <c r="Q174" s="58">
        <v>2</v>
      </c>
      <c r="R174" s="58">
        <v>2</v>
      </c>
      <c r="S174" s="58">
        <v>2</v>
      </c>
      <c r="T174" s="58">
        <v>2</v>
      </c>
      <c r="U174" s="58">
        <f aca="true" t="shared" si="52" ref="U174:U179">J174+K174+L174+M174+O174+Q174+R174+S174+T174</f>
        <v>18</v>
      </c>
      <c r="V174" s="90">
        <v>2024</v>
      </c>
      <c r="W174" s="4">
        <f t="shared" si="41"/>
        <v>0</v>
      </c>
      <c r="X174" s="4">
        <f t="shared" si="42"/>
        <v>0</v>
      </c>
    </row>
    <row r="175" spans="1:24" ht="51">
      <c r="A175" s="33" t="s">
        <v>254</v>
      </c>
      <c r="B175" s="34">
        <v>1</v>
      </c>
      <c r="C175" s="34">
        <v>1</v>
      </c>
      <c r="D175" s="34">
        <v>6</v>
      </c>
      <c r="E175" s="34">
        <v>0</v>
      </c>
      <c r="F175" s="34">
        <v>2</v>
      </c>
      <c r="G175" s="35"/>
      <c r="H175" s="54" t="s">
        <v>314</v>
      </c>
      <c r="I175" s="35" t="s">
        <v>283</v>
      </c>
      <c r="J175" s="48">
        <v>120</v>
      </c>
      <c r="K175" s="48">
        <v>130</v>
      </c>
      <c r="L175" s="48">
        <v>100</v>
      </c>
      <c r="M175" s="58">
        <v>70</v>
      </c>
      <c r="N175" s="58">
        <v>100</v>
      </c>
      <c r="O175" s="58">
        <v>100</v>
      </c>
      <c r="P175" s="58">
        <v>100</v>
      </c>
      <c r="Q175" s="58">
        <v>100</v>
      </c>
      <c r="R175" s="58">
        <v>100</v>
      </c>
      <c r="S175" s="58">
        <v>100</v>
      </c>
      <c r="T175" s="58">
        <v>100</v>
      </c>
      <c r="U175" s="58">
        <f t="shared" si="52"/>
        <v>920</v>
      </c>
      <c r="V175" s="90">
        <v>2024</v>
      </c>
      <c r="W175" s="4">
        <f t="shared" si="41"/>
        <v>0</v>
      </c>
      <c r="X175" s="4">
        <f t="shared" si="42"/>
        <v>0</v>
      </c>
    </row>
    <row r="176" spans="1:24" ht="38.25">
      <c r="A176" s="33" t="s">
        <v>254</v>
      </c>
      <c r="B176" s="34">
        <v>1</v>
      </c>
      <c r="C176" s="34">
        <v>1</v>
      </c>
      <c r="D176" s="34">
        <v>6</v>
      </c>
      <c r="E176" s="34">
        <v>0</v>
      </c>
      <c r="F176" s="34">
        <v>2</v>
      </c>
      <c r="G176" s="35"/>
      <c r="H176" s="54" t="s">
        <v>315</v>
      </c>
      <c r="I176" s="35" t="s">
        <v>283</v>
      </c>
      <c r="J176" s="48">
        <v>1055</v>
      </c>
      <c r="K176" s="48">
        <v>1060</v>
      </c>
      <c r="L176" s="48">
        <v>1060</v>
      </c>
      <c r="M176" s="58">
        <v>1881</v>
      </c>
      <c r="N176" s="58">
        <v>1070</v>
      </c>
      <c r="O176" s="58">
        <v>1885</v>
      </c>
      <c r="P176" s="58">
        <v>1075</v>
      </c>
      <c r="Q176" s="58">
        <v>1890</v>
      </c>
      <c r="R176" s="58">
        <v>1895</v>
      </c>
      <c r="S176" s="58">
        <v>1895</v>
      </c>
      <c r="T176" s="58">
        <v>1895</v>
      </c>
      <c r="U176" s="58">
        <f t="shared" si="52"/>
        <v>14516</v>
      </c>
      <c r="V176" s="90">
        <v>2024</v>
      </c>
      <c r="W176" s="4">
        <f t="shared" si="41"/>
        <v>815</v>
      </c>
      <c r="X176" s="4">
        <f t="shared" si="42"/>
        <v>815</v>
      </c>
    </row>
    <row r="177" spans="1:24" ht="89.25">
      <c r="A177" s="33" t="s">
        <v>254</v>
      </c>
      <c r="B177" s="34">
        <v>1</v>
      </c>
      <c r="C177" s="34">
        <v>1</v>
      </c>
      <c r="D177" s="34">
        <v>6</v>
      </c>
      <c r="E177" s="34">
        <v>0</v>
      </c>
      <c r="F177" s="34">
        <v>2</v>
      </c>
      <c r="G177" s="34"/>
      <c r="H177" s="54" t="s">
        <v>228</v>
      </c>
      <c r="I177" s="35" t="s">
        <v>294</v>
      </c>
      <c r="J177" s="104">
        <v>81</v>
      </c>
      <c r="K177" s="104">
        <v>180</v>
      </c>
      <c r="L177" s="104">
        <v>180</v>
      </c>
      <c r="M177" s="109">
        <v>437</v>
      </c>
      <c r="N177" s="109">
        <v>189</v>
      </c>
      <c r="O177" s="109">
        <v>437</v>
      </c>
      <c r="P177" s="109">
        <v>189</v>
      </c>
      <c r="Q177" s="109">
        <v>437</v>
      </c>
      <c r="R177" s="109">
        <v>437</v>
      </c>
      <c r="S177" s="109">
        <v>437</v>
      </c>
      <c r="T177" s="109">
        <v>437</v>
      </c>
      <c r="U177" s="58">
        <f t="shared" si="52"/>
        <v>3063</v>
      </c>
      <c r="V177" s="90">
        <v>2024</v>
      </c>
      <c r="W177" s="4">
        <f t="shared" si="41"/>
        <v>248</v>
      </c>
      <c r="X177" s="4">
        <f t="shared" si="42"/>
        <v>248</v>
      </c>
    </row>
    <row r="178" spans="1:24" ht="51">
      <c r="A178" s="33" t="s">
        <v>254</v>
      </c>
      <c r="B178" s="34">
        <v>1</v>
      </c>
      <c r="C178" s="34">
        <v>1</v>
      </c>
      <c r="D178" s="34">
        <v>6</v>
      </c>
      <c r="E178" s="34">
        <v>0</v>
      </c>
      <c r="F178" s="34">
        <v>2</v>
      </c>
      <c r="G178" s="34"/>
      <c r="H178" s="54" t="s">
        <v>100</v>
      </c>
      <c r="I178" s="35" t="s">
        <v>294</v>
      </c>
      <c r="J178" s="104">
        <v>125</v>
      </c>
      <c r="K178" s="104">
        <v>125</v>
      </c>
      <c r="L178" s="104">
        <v>125</v>
      </c>
      <c r="M178" s="105">
        <v>125</v>
      </c>
      <c r="N178" s="105">
        <v>125</v>
      </c>
      <c r="O178" s="74">
        <v>125</v>
      </c>
      <c r="P178" s="74">
        <v>125</v>
      </c>
      <c r="Q178" s="74">
        <v>125</v>
      </c>
      <c r="R178" s="74">
        <v>125</v>
      </c>
      <c r="S178" s="74">
        <v>125</v>
      </c>
      <c r="T178" s="74">
        <v>125</v>
      </c>
      <c r="U178" s="58">
        <f t="shared" si="52"/>
        <v>1125</v>
      </c>
      <c r="V178" s="90">
        <v>2024</v>
      </c>
      <c r="W178" s="4">
        <f t="shared" si="41"/>
        <v>0</v>
      </c>
      <c r="X178" s="4">
        <f t="shared" si="42"/>
        <v>0</v>
      </c>
    </row>
    <row r="179" spans="1:24" ht="38.25">
      <c r="A179" s="33" t="s">
        <v>254</v>
      </c>
      <c r="B179" s="34">
        <v>1</v>
      </c>
      <c r="C179" s="34">
        <v>1</v>
      </c>
      <c r="D179" s="34">
        <v>6</v>
      </c>
      <c r="E179" s="34">
        <v>0</v>
      </c>
      <c r="F179" s="34">
        <v>2</v>
      </c>
      <c r="G179" s="34"/>
      <c r="H179" s="54" t="s">
        <v>229</v>
      </c>
      <c r="I179" s="35" t="s">
        <v>294</v>
      </c>
      <c r="J179" s="104">
        <v>342</v>
      </c>
      <c r="K179" s="104">
        <v>720</v>
      </c>
      <c r="L179" s="104">
        <v>720</v>
      </c>
      <c r="M179" s="105">
        <v>720</v>
      </c>
      <c r="N179" s="105">
        <v>720</v>
      </c>
      <c r="O179" s="74">
        <v>720</v>
      </c>
      <c r="P179" s="74">
        <v>720</v>
      </c>
      <c r="Q179" s="74">
        <v>720</v>
      </c>
      <c r="R179" s="74">
        <v>720</v>
      </c>
      <c r="S179" s="74">
        <v>720</v>
      </c>
      <c r="T179" s="74">
        <v>720</v>
      </c>
      <c r="U179" s="58">
        <f t="shared" si="52"/>
        <v>6102</v>
      </c>
      <c r="V179" s="90">
        <v>2024</v>
      </c>
      <c r="W179" s="4">
        <f t="shared" si="41"/>
        <v>0</v>
      </c>
      <c r="X179" s="4">
        <f t="shared" si="42"/>
        <v>0</v>
      </c>
    </row>
    <row r="180" spans="1:26" s="7" customFormat="1" ht="63.75">
      <c r="A180" s="36" t="s">
        <v>254</v>
      </c>
      <c r="B180" s="37">
        <v>1</v>
      </c>
      <c r="C180" s="37">
        <v>1</v>
      </c>
      <c r="D180" s="37">
        <v>6</v>
      </c>
      <c r="E180" s="37">
        <v>0</v>
      </c>
      <c r="F180" s="37">
        <v>3</v>
      </c>
      <c r="G180" s="37"/>
      <c r="H180" s="49" t="s">
        <v>393</v>
      </c>
      <c r="I180" s="37" t="s">
        <v>255</v>
      </c>
      <c r="J180" s="45">
        <f aca="true" t="shared" si="53" ref="J180:T180">J181</f>
        <v>1242</v>
      </c>
      <c r="K180" s="45">
        <f t="shared" si="53"/>
        <v>1300</v>
      </c>
      <c r="L180" s="45">
        <f t="shared" si="53"/>
        <v>1046.8</v>
      </c>
      <c r="M180" s="45">
        <f t="shared" si="53"/>
        <v>1375.9</v>
      </c>
      <c r="N180" s="45">
        <f t="shared" si="53"/>
        <v>1089.9</v>
      </c>
      <c r="O180" s="50">
        <f t="shared" si="53"/>
        <v>1189.9</v>
      </c>
      <c r="P180" s="50">
        <f t="shared" si="53"/>
        <v>1428.8</v>
      </c>
      <c r="Q180" s="50">
        <f t="shared" si="53"/>
        <v>1189.9</v>
      </c>
      <c r="R180" s="50">
        <f t="shared" si="53"/>
        <v>1189.9</v>
      </c>
      <c r="S180" s="50">
        <f t="shared" si="53"/>
        <v>1189.9</v>
      </c>
      <c r="T180" s="50">
        <f t="shared" si="53"/>
        <v>1189.9</v>
      </c>
      <c r="U180" s="45">
        <f aca="true" t="shared" si="54" ref="U180:U185">J180+K180+L180+M180+O180+Q180+R180+S180+T180</f>
        <v>10914.2</v>
      </c>
      <c r="V180" s="37">
        <v>2024</v>
      </c>
      <c r="W180" s="4">
        <f t="shared" si="41"/>
        <v>100</v>
      </c>
      <c r="X180" s="4">
        <f t="shared" si="42"/>
        <v>-238.9</v>
      </c>
      <c r="Y180" s="4"/>
      <c r="Z180" s="3"/>
    </row>
    <row r="181" spans="1:26" s="7" customFormat="1" ht="12.75">
      <c r="A181" s="33" t="s">
        <v>254</v>
      </c>
      <c r="B181" s="34">
        <v>1</v>
      </c>
      <c r="C181" s="34">
        <v>1</v>
      </c>
      <c r="D181" s="34">
        <v>6</v>
      </c>
      <c r="E181" s="34">
        <v>0</v>
      </c>
      <c r="F181" s="34">
        <v>3</v>
      </c>
      <c r="G181" s="34">
        <v>3</v>
      </c>
      <c r="H181" s="51" t="s">
        <v>256</v>
      </c>
      <c r="I181" s="34" t="s">
        <v>255</v>
      </c>
      <c r="J181" s="53">
        <f>1144+98</f>
        <v>1242</v>
      </c>
      <c r="K181" s="53">
        <v>1300</v>
      </c>
      <c r="L181" s="53">
        <v>1046.8</v>
      </c>
      <c r="M181" s="65">
        <v>1375.9</v>
      </c>
      <c r="N181" s="65">
        <v>1089.9</v>
      </c>
      <c r="O181" s="67">
        <v>1189.9</v>
      </c>
      <c r="P181" s="67">
        <v>1428.8</v>
      </c>
      <c r="Q181" s="67">
        <v>1189.9</v>
      </c>
      <c r="R181" s="65">
        <v>1189.9</v>
      </c>
      <c r="S181" s="65">
        <v>1189.9</v>
      </c>
      <c r="T181" s="65">
        <v>1189.9</v>
      </c>
      <c r="U181" s="53">
        <f t="shared" si="54"/>
        <v>10914.2</v>
      </c>
      <c r="V181" s="88">
        <v>2024</v>
      </c>
      <c r="W181" s="4">
        <f t="shared" si="41"/>
        <v>100</v>
      </c>
      <c r="X181" s="4">
        <f t="shared" si="42"/>
        <v>-238.9</v>
      </c>
      <c r="Y181" s="4"/>
      <c r="Z181" s="3"/>
    </row>
    <row r="182" spans="1:24" ht="63.75">
      <c r="A182" s="33" t="s">
        <v>254</v>
      </c>
      <c r="B182" s="34">
        <v>1</v>
      </c>
      <c r="C182" s="34">
        <v>1</v>
      </c>
      <c r="D182" s="34">
        <v>6</v>
      </c>
      <c r="E182" s="34">
        <v>0</v>
      </c>
      <c r="F182" s="34">
        <v>3</v>
      </c>
      <c r="G182" s="35"/>
      <c r="H182" s="54" t="s">
        <v>152</v>
      </c>
      <c r="I182" s="35" t="s">
        <v>294</v>
      </c>
      <c r="J182" s="48">
        <v>51</v>
      </c>
      <c r="K182" s="48">
        <v>51</v>
      </c>
      <c r="L182" s="48">
        <v>41</v>
      </c>
      <c r="M182" s="97">
        <v>46</v>
      </c>
      <c r="N182" s="97">
        <v>46</v>
      </c>
      <c r="O182" s="70">
        <v>46</v>
      </c>
      <c r="P182" s="70">
        <v>55</v>
      </c>
      <c r="Q182" s="70">
        <v>55</v>
      </c>
      <c r="R182" s="70">
        <v>55</v>
      </c>
      <c r="S182" s="70">
        <v>55</v>
      </c>
      <c r="T182" s="70">
        <v>55</v>
      </c>
      <c r="U182" s="48">
        <f t="shared" si="54"/>
        <v>455</v>
      </c>
      <c r="V182" s="90">
        <v>2024</v>
      </c>
      <c r="W182" s="4">
        <f t="shared" si="41"/>
        <v>0</v>
      </c>
      <c r="X182" s="4">
        <f t="shared" si="42"/>
        <v>0</v>
      </c>
    </row>
    <row r="183" spans="1:24" ht="63.75">
      <c r="A183" s="33" t="s">
        <v>254</v>
      </c>
      <c r="B183" s="34">
        <v>1</v>
      </c>
      <c r="C183" s="34">
        <v>1</v>
      </c>
      <c r="D183" s="34">
        <v>6</v>
      </c>
      <c r="E183" s="34">
        <v>0</v>
      </c>
      <c r="F183" s="34">
        <v>3</v>
      </c>
      <c r="G183" s="35"/>
      <c r="H183" s="54" t="s">
        <v>151</v>
      </c>
      <c r="I183" s="35" t="s">
        <v>294</v>
      </c>
      <c r="J183" s="48">
        <v>82</v>
      </c>
      <c r="K183" s="48">
        <v>82</v>
      </c>
      <c r="L183" s="48">
        <v>83</v>
      </c>
      <c r="M183" s="97">
        <v>88</v>
      </c>
      <c r="N183" s="97">
        <v>83</v>
      </c>
      <c r="O183" s="70">
        <v>83</v>
      </c>
      <c r="P183" s="70">
        <v>96</v>
      </c>
      <c r="Q183" s="70">
        <v>96</v>
      </c>
      <c r="R183" s="70">
        <v>96</v>
      </c>
      <c r="S183" s="70">
        <v>96</v>
      </c>
      <c r="T183" s="70">
        <v>96</v>
      </c>
      <c r="U183" s="48">
        <f t="shared" si="54"/>
        <v>802</v>
      </c>
      <c r="V183" s="90">
        <v>2024</v>
      </c>
      <c r="W183" s="4">
        <f t="shared" si="41"/>
        <v>0</v>
      </c>
      <c r="X183" s="4">
        <f t="shared" si="42"/>
        <v>0</v>
      </c>
    </row>
    <row r="184" spans="1:26" s="7" customFormat="1" ht="89.25">
      <c r="A184" s="36" t="s">
        <v>254</v>
      </c>
      <c r="B184" s="37">
        <v>1</v>
      </c>
      <c r="C184" s="37">
        <v>1</v>
      </c>
      <c r="D184" s="37">
        <v>6</v>
      </c>
      <c r="E184" s="37">
        <v>0</v>
      </c>
      <c r="F184" s="37">
        <v>4</v>
      </c>
      <c r="G184" s="37">
        <v>3</v>
      </c>
      <c r="H184" s="49" t="s">
        <v>394</v>
      </c>
      <c r="I184" s="37" t="s">
        <v>255</v>
      </c>
      <c r="J184" s="45">
        <f aca="true" t="shared" si="55" ref="J184:T184">J185</f>
        <v>984.7</v>
      </c>
      <c r="K184" s="45">
        <f t="shared" si="55"/>
        <v>1012.6</v>
      </c>
      <c r="L184" s="45">
        <f t="shared" si="55"/>
        <v>1015.8</v>
      </c>
      <c r="M184" s="45">
        <f t="shared" si="55"/>
        <v>820</v>
      </c>
      <c r="N184" s="45">
        <f t="shared" si="55"/>
        <v>700</v>
      </c>
      <c r="O184" s="50">
        <f t="shared" si="55"/>
        <v>3524.4</v>
      </c>
      <c r="P184" s="50">
        <f t="shared" si="55"/>
        <v>768.1</v>
      </c>
      <c r="Q184" s="50">
        <f t="shared" si="55"/>
        <v>3524.4</v>
      </c>
      <c r="R184" s="50">
        <f t="shared" si="55"/>
        <v>3524.4</v>
      </c>
      <c r="S184" s="50">
        <f t="shared" si="55"/>
        <v>3524.4</v>
      </c>
      <c r="T184" s="50">
        <f t="shared" si="55"/>
        <v>3524.4</v>
      </c>
      <c r="U184" s="45">
        <f t="shared" si="54"/>
        <v>21455.1</v>
      </c>
      <c r="V184" s="37">
        <v>2024</v>
      </c>
      <c r="W184" s="4">
        <f t="shared" si="41"/>
        <v>2824.4</v>
      </c>
      <c r="X184" s="4">
        <f t="shared" si="42"/>
        <v>2756.3</v>
      </c>
      <c r="Y184" s="4"/>
      <c r="Z184" s="3"/>
    </row>
    <row r="185" spans="1:26" s="7" customFormat="1" ht="12.75">
      <c r="A185" s="33" t="s">
        <v>254</v>
      </c>
      <c r="B185" s="34">
        <v>1</v>
      </c>
      <c r="C185" s="34">
        <v>1</v>
      </c>
      <c r="D185" s="34">
        <v>6</v>
      </c>
      <c r="E185" s="34">
        <v>0</v>
      </c>
      <c r="F185" s="34">
        <v>4</v>
      </c>
      <c r="G185" s="34">
        <v>3</v>
      </c>
      <c r="H185" s="51" t="s">
        <v>256</v>
      </c>
      <c r="I185" s="34" t="s">
        <v>255</v>
      </c>
      <c r="J185" s="53">
        <f>856+128.7</f>
        <v>984.7</v>
      </c>
      <c r="K185" s="53">
        <v>1012.6</v>
      </c>
      <c r="L185" s="53">
        <f>1015.9-0.1</f>
        <v>1015.8</v>
      </c>
      <c r="M185" s="65">
        <v>820</v>
      </c>
      <c r="N185" s="65">
        <v>700</v>
      </c>
      <c r="O185" s="67">
        <v>3524.4</v>
      </c>
      <c r="P185" s="67">
        <v>768.1</v>
      </c>
      <c r="Q185" s="67">
        <v>3524.4</v>
      </c>
      <c r="R185" s="65">
        <v>3524.4</v>
      </c>
      <c r="S185" s="65">
        <v>3524.4</v>
      </c>
      <c r="T185" s="65">
        <v>3524.4</v>
      </c>
      <c r="U185" s="53">
        <f t="shared" si="54"/>
        <v>21455.1</v>
      </c>
      <c r="V185" s="88">
        <v>2024</v>
      </c>
      <c r="W185" s="4">
        <f t="shared" si="41"/>
        <v>2824.4</v>
      </c>
      <c r="X185" s="4">
        <f t="shared" si="42"/>
        <v>2756.3</v>
      </c>
      <c r="Y185" s="4"/>
      <c r="Z185" s="3"/>
    </row>
    <row r="186" spans="1:24" ht="51">
      <c r="A186" s="33" t="s">
        <v>254</v>
      </c>
      <c r="B186" s="34">
        <v>1</v>
      </c>
      <c r="C186" s="34">
        <v>1</v>
      </c>
      <c r="D186" s="34">
        <v>6</v>
      </c>
      <c r="E186" s="34">
        <v>0</v>
      </c>
      <c r="F186" s="34">
        <v>4</v>
      </c>
      <c r="G186" s="34"/>
      <c r="H186" s="54" t="s">
        <v>155</v>
      </c>
      <c r="I186" s="35" t="s">
        <v>294</v>
      </c>
      <c r="J186" s="48">
        <v>2</v>
      </c>
      <c r="K186" s="48">
        <f>2+1</f>
        <v>3</v>
      </c>
      <c r="L186" s="48">
        <v>2</v>
      </c>
      <c r="M186" s="97">
        <v>2</v>
      </c>
      <c r="N186" s="97">
        <v>2</v>
      </c>
      <c r="O186" s="70">
        <v>2</v>
      </c>
      <c r="P186" s="70">
        <v>2</v>
      </c>
      <c r="Q186" s="70">
        <v>2</v>
      </c>
      <c r="R186" s="70">
        <v>2</v>
      </c>
      <c r="S186" s="70">
        <v>2</v>
      </c>
      <c r="T186" s="70">
        <v>2</v>
      </c>
      <c r="U186" s="48">
        <v>3</v>
      </c>
      <c r="V186" s="90">
        <v>2024</v>
      </c>
      <c r="W186" s="4">
        <f t="shared" si="41"/>
        <v>0</v>
      </c>
      <c r="X186" s="4">
        <f t="shared" si="42"/>
        <v>0</v>
      </c>
    </row>
    <row r="187" spans="1:24" ht="51">
      <c r="A187" s="33" t="s">
        <v>254</v>
      </c>
      <c r="B187" s="34">
        <v>1</v>
      </c>
      <c r="C187" s="34">
        <v>1</v>
      </c>
      <c r="D187" s="34">
        <v>6</v>
      </c>
      <c r="E187" s="34">
        <v>0</v>
      </c>
      <c r="F187" s="34">
        <v>4</v>
      </c>
      <c r="G187" s="34"/>
      <c r="H187" s="54" t="s">
        <v>156</v>
      </c>
      <c r="I187" s="35" t="s">
        <v>294</v>
      </c>
      <c r="J187" s="48">
        <v>3</v>
      </c>
      <c r="K187" s="48">
        <v>3</v>
      </c>
      <c r="L187" s="48">
        <v>2</v>
      </c>
      <c r="M187" s="97">
        <v>2</v>
      </c>
      <c r="N187" s="97">
        <v>3</v>
      </c>
      <c r="O187" s="70">
        <v>2</v>
      </c>
      <c r="P187" s="70">
        <v>3</v>
      </c>
      <c r="Q187" s="70">
        <v>2</v>
      </c>
      <c r="R187" s="70">
        <v>2</v>
      </c>
      <c r="S187" s="70">
        <v>2</v>
      </c>
      <c r="T187" s="70">
        <v>2</v>
      </c>
      <c r="U187" s="48">
        <v>3</v>
      </c>
      <c r="V187" s="90">
        <v>2024</v>
      </c>
      <c r="W187" s="4">
        <f t="shared" si="41"/>
        <v>-1</v>
      </c>
      <c r="X187" s="4">
        <f t="shared" si="42"/>
        <v>-1</v>
      </c>
    </row>
    <row r="188" spans="1:26" s="7" customFormat="1" ht="25.5">
      <c r="A188" s="31" t="s">
        <v>254</v>
      </c>
      <c r="B188" s="32">
        <v>1</v>
      </c>
      <c r="C188" s="32">
        <v>1</v>
      </c>
      <c r="D188" s="32">
        <v>7</v>
      </c>
      <c r="E188" s="32">
        <v>0</v>
      </c>
      <c r="F188" s="32">
        <v>0</v>
      </c>
      <c r="G188" s="32"/>
      <c r="H188" s="30" t="s">
        <v>316</v>
      </c>
      <c r="I188" s="32" t="s">
        <v>255</v>
      </c>
      <c r="J188" s="68">
        <f>J190+J189</f>
        <v>690.3</v>
      </c>
      <c r="K188" s="68">
        <f>K190+K189</f>
        <v>921.3</v>
      </c>
      <c r="L188" s="68">
        <f>L190+L189</f>
        <v>699.3</v>
      </c>
      <c r="M188" s="68">
        <f aca="true" t="shared" si="56" ref="M188:T188">M189+M190</f>
        <v>729.6</v>
      </c>
      <c r="N188" s="68">
        <f>N189+N190</f>
        <v>670</v>
      </c>
      <c r="O188" s="68">
        <f t="shared" si="56"/>
        <v>760.5</v>
      </c>
      <c r="P188" s="68">
        <f>P189+P190</f>
        <v>736.2</v>
      </c>
      <c r="Q188" s="68">
        <f t="shared" si="56"/>
        <v>760.6</v>
      </c>
      <c r="R188" s="68">
        <f t="shared" si="56"/>
        <v>760.5</v>
      </c>
      <c r="S188" s="68">
        <f t="shared" si="56"/>
        <v>760.5</v>
      </c>
      <c r="T188" s="68">
        <f t="shared" si="56"/>
        <v>760.5</v>
      </c>
      <c r="U188" s="68">
        <f>J188+K188+L188+M188+O188+Q188+R188+S188+T188</f>
        <v>6843.1</v>
      </c>
      <c r="V188" s="32">
        <v>2024</v>
      </c>
      <c r="W188" s="4">
        <f t="shared" si="41"/>
        <v>90.5</v>
      </c>
      <c r="X188" s="4">
        <f t="shared" si="42"/>
        <v>24.4</v>
      </c>
      <c r="Y188" s="4"/>
      <c r="Z188" s="3"/>
    </row>
    <row r="189" spans="1:26" s="7" customFormat="1" ht="12.75">
      <c r="A189" s="33" t="s">
        <v>254</v>
      </c>
      <c r="B189" s="34">
        <v>1</v>
      </c>
      <c r="C189" s="34">
        <v>1</v>
      </c>
      <c r="D189" s="34">
        <v>7</v>
      </c>
      <c r="E189" s="34">
        <v>0</v>
      </c>
      <c r="F189" s="34">
        <v>0</v>
      </c>
      <c r="G189" s="34">
        <v>3</v>
      </c>
      <c r="H189" s="51" t="s">
        <v>256</v>
      </c>
      <c r="I189" s="34" t="s">
        <v>255</v>
      </c>
      <c r="J189" s="53">
        <f aca="true" t="shared" si="57" ref="J189:L190">J198</f>
        <v>690.3</v>
      </c>
      <c r="K189" s="53">
        <f t="shared" si="57"/>
        <v>595.5</v>
      </c>
      <c r="L189" s="53">
        <f t="shared" si="57"/>
        <v>699.3</v>
      </c>
      <c r="M189" s="65">
        <f aca="true" t="shared" si="58" ref="M189:T189">M198</f>
        <v>729.6</v>
      </c>
      <c r="N189" s="65">
        <f>N198</f>
        <v>670</v>
      </c>
      <c r="O189" s="65">
        <f t="shared" si="58"/>
        <v>760.5</v>
      </c>
      <c r="P189" s="65">
        <f>P198</f>
        <v>736.2</v>
      </c>
      <c r="Q189" s="65">
        <f t="shared" si="58"/>
        <v>760.6</v>
      </c>
      <c r="R189" s="65">
        <f t="shared" si="58"/>
        <v>760.5</v>
      </c>
      <c r="S189" s="65">
        <f t="shared" si="58"/>
        <v>760.5</v>
      </c>
      <c r="T189" s="65">
        <f t="shared" si="58"/>
        <v>760.5</v>
      </c>
      <c r="U189" s="53">
        <f>J189+K189+L189+M189+O189+Q189+R189+S189+T189</f>
        <v>6517.3</v>
      </c>
      <c r="V189" s="88">
        <v>2024</v>
      </c>
      <c r="W189" s="4">
        <f t="shared" si="41"/>
        <v>90.5</v>
      </c>
      <c r="X189" s="4">
        <f t="shared" si="42"/>
        <v>24.4</v>
      </c>
      <c r="Y189" s="4"/>
      <c r="Z189" s="3"/>
    </row>
    <row r="190" spans="1:26" s="7" customFormat="1" ht="12.75">
      <c r="A190" s="33" t="s">
        <v>254</v>
      </c>
      <c r="B190" s="34">
        <v>1</v>
      </c>
      <c r="C190" s="34">
        <v>1</v>
      </c>
      <c r="D190" s="34">
        <v>7</v>
      </c>
      <c r="E190" s="34">
        <v>0</v>
      </c>
      <c r="F190" s="34">
        <v>0</v>
      </c>
      <c r="G190" s="34">
        <v>2</v>
      </c>
      <c r="H190" s="51" t="s">
        <v>257</v>
      </c>
      <c r="I190" s="34" t="s">
        <v>255</v>
      </c>
      <c r="J190" s="53">
        <f t="shared" si="57"/>
        <v>0</v>
      </c>
      <c r="K190" s="53">
        <f t="shared" si="57"/>
        <v>325.8</v>
      </c>
      <c r="L190" s="53">
        <f t="shared" si="57"/>
        <v>0</v>
      </c>
      <c r="M190" s="65">
        <v>0</v>
      </c>
      <c r="N190" s="65">
        <v>0</v>
      </c>
      <c r="O190" s="67">
        <v>0</v>
      </c>
      <c r="P190" s="67">
        <v>0</v>
      </c>
      <c r="Q190" s="67">
        <v>0</v>
      </c>
      <c r="R190" s="65">
        <f>R199</f>
        <v>0</v>
      </c>
      <c r="S190" s="65">
        <f>S199</f>
        <v>0</v>
      </c>
      <c r="T190" s="65">
        <f>T199</f>
        <v>0</v>
      </c>
      <c r="U190" s="53">
        <f>J190+K190+L190+M190+O190+Q190+R190+S190+T190</f>
        <v>325.8</v>
      </c>
      <c r="V190" s="88">
        <v>2017</v>
      </c>
      <c r="W190" s="4">
        <f t="shared" si="41"/>
        <v>0</v>
      </c>
      <c r="X190" s="4">
        <f t="shared" si="42"/>
        <v>0</v>
      </c>
      <c r="Y190" s="4"/>
      <c r="Z190" s="3"/>
    </row>
    <row r="191" spans="1:24" ht="38.25">
      <c r="A191" s="33" t="s">
        <v>254</v>
      </c>
      <c r="B191" s="34">
        <v>1</v>
      </c>
      <c r="C191" s="34">
        <v>1</v>
      </c>
      <c r="D191" s="34">
        <v>7</v>
      </c>
      <c r="E191" s="34">
        <v>0</v>
      </c>
      <c r="F191" s="34">
        <v>0</v>
      </c>
      <c r="G191" s="35"/>
      <c r="H191" s="39" t="s">
        <v>317</v>
      </c>
      <c r="I191" s="35" t="s">
        <v>283</v>
      </c>
      <c r="J191" s="48">
        <v>1942</v>
      </c>
      <c r="K191" s="48">
        <v>2195</v>
      </c>
      <c r="L191" s="48">
        <v>2502</v>
      </c>
      <c r="M191" s="97">
        <v>2597</v>
      </c>
      <c r="N191" s="97">
        <v>1942</v>
      </c>
      <c r="O191" s="58">
        <v>2600</v>
      </c>
      <c r="P191" s="58">
        <v>1942</v>
      </c>
      <c r="Q191" s="58">
        <v>2610</v>
      </c>
      <c r="R191" s="58">
        <v>2615</v>
      </c>
      <c r="S191" s="58">
        <v>2615</v>
      </c>
      <c r="T191" s="58">
        <v>2615</v>
      </c>
      <c r="U191" s="48">
        <f>J191+K191+L191+M191+O191+Q191+R191+S191+T191</f>
        <v>22291</v>
      </c>
      <c r="V191" s="90">
        <v>2024</v>
      </c>
      <c r="W191" s="4">
        <f t="shared" si="41"/>
        <v>658</v>
      </c>
      <c r="X191" s="4">
        <f t="shared" si="42"/>
        <v>668</v>
      </c>
    </row>
    <row r="192" spans="1:24" ht="51">
      <c r="A192" s="33" t="s">
        <v>254</v>
      </c>
      <c r="B192" s="34">
        <v>1</v>
      </c>
      <c r="C192" s="34">
        <v>1</v>
      </c>
      <c r="D192" s="34">
        <v>7</v>
      </c>
      <c r="E192" s="34">
        <v>0</v>
      </c>
      <c r="F192" s="34">
        <v>0</v>
      </c>
      <c r="G192" s="35"/>
      <c r="H192" s="39" t="s">
        <v>66</v>
      </c>
      <c r="I192" s="35" t="s">
        <v>260</v>
      </c>
      <c r="J192" s="42">
        <v>100</v>
      </c>
      <c r="K192" s="42">
        <v>100</v>
      </c>
      <c r="L192" s="42">
        <v>100</v>
      </c>
      <c r="M192" s="63">
        <v>100</v>
      </c>
      <c r="N192" s="63">
        <v>100</v>
      </c>
      <c r="O192" s="56">
        <v>100</v>
      </c>
      <c r="P192" s="56">
        <v>100</v>
      </c>
      <c r="Q192" s="56">
        <v>100</v>
      </c>
      <c r="R192" s="56">
        <v>100</v>
      </c>
      <c r="S192" s="56">
        <v>100</v>
      </c>
      <c r="T192" s="56">
        <v>100</v>
      </c>
      <c r="U192" s="42">
        <v>100</v>
      </c>
      <c r="V192" s="90">
        <v>2024</v>
      </c>
      <c r="W192" s="4">
        <f t="shared" si="41"/>
        <v>0</v>
      </c>
      <c r="X192" s="4">
        <f t="shared" si="42"/>
        <v>0</v>
      </c>
    </row>
    <row r="193" spans="1:24" ht="63.75">
      <c r="A193" s="33" t="s">
        <v>254</v>
      </c>
      <c r="B193" s="34">
        <v>1</v>
      </c>
      <c r="C193" s="34">
        <v>1</v>
      </c>
      <c r="D193" s="34">
        <v>7</v>
      </c>
      <c r="E193" s="34">
        <v>0</v>
      </c>
      <c r="F193" s="34">
        <v>0</v>
      </c>
      <c r="G193" s="35"/>
      <c r="H193" s="39" t="s">
        <v>268</v>
      </c>
      <c r="I193" s="35" t="s">
        <v>260</v>
      </c>
      <c r="J193" s="40">
        <v>0</v>
      </c>
      <c r="K193" s="40">
        <v>0</v>
      </c>
      <c r="L193" s="40">
        <v>0</v>
      </c>
      <c r="M193" s="41">
        <v>7.5</v>
      </c>
      <c r="N193" s="41">
        <v>7.7</v>
      </c>
      <c r="O193" s="41">
        <v>7.7</v>
      </c>
      <c r="P193" s="41">
        <v>8.1</v>
      </c>
      <c r="Q193" s="41">
        <v>8.1</v>
      </c>
      <c r="R193" s="41">
        <v>8.1</v>
      </c>
      <c r="S193" s="41">
        <v>8.1</v>
      </c>
      <c r="T193" s="41">
        <v>8.2</v>
      </c>
      <c r="U193" s="40">
        <v>8.2</v>
      </c>
      <c r="V193" s="35">
        <v>2024</v>
      </c>
      <c r="W193" s="4">
        <f t="shared" si="41"/>
        <v>0</v>
      </c>
      <c r="X193" s="4">
        <f t="shared" si="42"/>
        <v>0</v>
      </c>
    </row>
    <row r="194" spans="1:24" ht="51">
      <c r="A194" s="36" t="s">
        <v>254</v>
      </c>
      <c r="B194" s="37">
        <v>1</v>
      </c>
      <c r="C194" s="37">
        <v>1</v>
      </c>
      <c r="D194" s="37">
        <v>7</v>
      </c>
      <c r="E194" s="37">
        <v>0</v>
      </c>
      <c r="F194" s="37">
        <v>1</v>
      </c>
      <c r="G194" s="38"/>
      <c r="H194" s="43" t="s">
        <v>218</v>
      </c>
      <c r="I194" s="38" t="s">
        <v>279</v>
      </c>
      <c r="J194" s="44" t="s">
        <v>280</v>
      </c>
      <c r="K194" s="44" t="s">
        <v>280</v>
      </c>
      <c r="L194" s="44" t="s">
        <v>280</v>
      </c>
      <c r="M194" s="44" t="s">
        <v>280</v>
      </c>
      <c r="N194" s="44" t="s">
        <v>280</v>
      </c>
      <c r="O194" s="44" t="s">
        <v>280</v>
      </c>
      <c r="P194" s="44" t="s">
        <v>280</v>
      </c>
      <c r="Q194" s="44" t="s">
        <v>280</v>
      </c>
      <c r="R194" s="44" t="s">
        <v>280</v>
      </c>
      <c r="S194" s="44" t="s">
        <v>280</v>
      </c>
      <c r="T194" s="44" t="s">
        <v>280</v>
      </c>
      <c r="U194" s="44" t="s">
        <v>280</v>
      </c>
      <c r="V194" s="38">
        <v>2024</v>
      </c>
      <c r="W194" s="4"/>
      <c r="X194" s="4"/>
    </row>
    <row r="195" spans="1:24" ht="38.25">
      <c r="A195" s="33" t="s">
        <v>254</v>
      </c>
      <c r="B195" s="34">
        <v>1</v>
      </c>
      <c r="C195" s="34">
        <v>1</v>
      </c>
      <c r="D195" s="34">
        <v>7</v>
      </c>
      <c r="E195" s="34">
        <v>0</v>
      </c>
      <c r="F195" s="34">
        <v>1</v>
      </c>
      <c r="G195" s="35"/>
      <c r="H195" s="54" t="s">
        <v>318</v>
      </c>
      <c r="I195" s="35" t="s">
        <v>294</v>
      </c>
      <c r="J195" s="48">
        <v>43</v>
      </c>
      <c r="K195" s="48">
        <v>44</v>
      </c>
      <c r="L195" s="48">
        <v>44</v>
      </c>
      <c r="M195" s="97">
        <v>44</v>
      </c>
      <c r="N195" s="97">
        <v>47</v>
      </c>
      <c r="O195" s="70">
        <v>44</v>
      </c>
      <c r="P195" s="70">
        <v>47</v>
      </c>
      <c r="Q195" s="70">
        <v>44</v>
      </c>
      <c r="R195" s="70">
        <v>44</v>
      </c>
      <c r="S195" s="70">
        <v>44</v>
      </c>
      <c r="T195" s="70">
        <v>44</v>
      </c>
      <c r="U195" s="48">
        <f>J195+K195+L195+M195+O195+Q195+R195+S195+T195</f>
        <v>395</v>
      </c>
      <c r="V195" s="90">
        <v>2024</v>
      </c>
      <c r="W195" s="4">
        <f t="shared" si="41"/>
        <v>-3</v>
      </c>
      <c r="X195" s="4">
        <f t="shared" si="42"/>
        <v>-3</v>
      </c>
    </row>
    <row r="196" spans="1:24" ht="63.75">
      <c r="A196" s="33" t="s">
        <v>254</v>
      </c>
      <c r="B196" s="34">
        <v>1</v>
      </c>
      <c r="C196" s="34">
        <v>1</v>
      </c>
      <c r="D196" s="34">
        <v>7</v>
      </c>
      <c r="E196" s="34">
        <v>0</v>
      </c>
      <c r="F196" s="34">
        <v>1</v>
      </c>
      <c r="G196" s="35"/>
      <c r="H196" s="54" t="s">
        <v>65</v>
      </c>
      <c r="I196" s="35" t="s">
        <v>294</v>
      </c>
      <c r="J196" s="48">
        <v>29</v>
      </c>
      <c r="K196" s="48">
        <v>28</v>
      </c>
      <c r="L196" s="48">
        <v>28</v>
      </c>
      <c r="M196" s="97">
        <v>28</v>
      </c>
      <c r="N196" s="97">
        <v>28</v>
      </c>
      <c r="O196" s="70">
        <v>28</v>
      </c>
      <c r="P196" s="70">
        <v>28</v>
      </c>
      <c r="Q196" s="70">
        <v>28</v>
      </c>
      <c r="R196" s="70">
        <v>28</v>
      </c>
      <c r="S196" s="70">
        <v>28</v>
      </c>
      <c r="T196" s="70">
        <v>28</v>
      </c>
      <c r="U196" s="48">
        <v>28</v>
      </c>
      <c r="V196" s="90">
        <v>2024</v>
      </c>
      <c r="W196" s="4">
        <f t="shared" si="41"/>
        <v>0</v>
      </c>
      <c r="X196" s="4">
        <f t="shared" si="42"/>
        <v>0</v>
      </c>
    </row>
    <row r="197" spans="1:26" s="7" customFormat="1" ht="76.5">
      <c r="A197" s="36" t="s">
        <v>254</v>
      </c>
      <c r="B197" s="37">
        <v>1</v>
      </c>
      <c r="C197" s="37">
        <v>1</v>
      </c>
      <c r="D197" s="37">
        <v>7</v>
      </c>
      <c r="E197" s="37">
        <v>0</v>
      </c>
      <c r="F197" s="37">
        <v>2</v>
      </c>
      <c r="G197" s="37"/>
      <c r="H197" s="49" t="s">
        <v>395</v>
      </c>
      <c r="I197" s="37" t="s">
        <v>255</v>
      </c>
      <c r="J197" s="45">
        <f>J198+J199</f>
        <v>690.3</v>
      </c>
      <c r="K197" s="45">
        <f>K198+K199</f>
        <v>921.3</v>
      </c>
      <c r="L197" s="45">
        <f>L198+L199</f>
        <v>699.3</v>
      </c>
      <c r="M197" s="45">
        <f aca="true" t="shared" si="59" ref="M197:T197">M198+M199</f>
        <v>729.6</v>
      </c>
      <c r="N197" s="45">
        <f t="shared" si="59"/>
        <v>670</v>
      </c>
      <c r="O197" s="45">
        <f t="shared" si="59"/>
        <v>760.5</v>
      </c>
      <c r="P197" s="45">
        <f t="shared" si="59"/>
        <v>736.2</v>
      </c>
      <c r="Q197" s="45">
        <f t="shared" si="59"/>
        <v>760.6</v>
      </c>
      <c r="R197" s="45">
        <f t="shared" si="59"/>
        <v>760.5</v>
      </c>
      <c r="S197" s="45">
        <f t="shared" si="59"/>
        <v>760.5</v>
      </c>
      <c r="T197" s="45">
        <f t="shared" si="59"/>
        <v>760.5</v>
      </c>
      <c r="U197" s="45">
        <f>J197+K197+L197+M197+O197+Q197+R197+S197+T197</f>
        <v>6843.1</v>
      </c>
      <c r="V197" s="37">
        <v>2024</v>
      </c>
      <c r="W197" s="4">
        <f t="shared" si="41"/>
        <v>90.5</v>
      </c>
      <c r="X197" s="4">
        <f t="shared" si="42"/>
        <v>24.4</v>
      </c>
      <c r="Y197" s="4"/>
      <c r="Z197" s="3"/>
    </row>
    <row r="198" spans="1:26" s="7" customFormat="1" ht="12.75">
      <c r="A198" s="33" t="s">
        <v>254</v>
      </c>
      <c r="B198" s="34">
        <v>1</v>
      </c>
      <c r="C198" s="34">
        <v>1</v>
      </c>
      <c r="D198" s="34">
        <v>7</v>
      </c>
      <c r="E198" s="34">
        <v>0</v>
      </c>
      <c r="F198" s="34">
        <v>2</v>
      </c>
      <c r="G198" s="34">
        <v>3</v>
      </c>
      <c r="H198" s="51" t="s">
        <v>256</v>
      </c>
      <c r="I198" s="34" t="s">
        <v>255</v>
      </c>
      <c r="J198" s="53">
        <f>670+20.3</f>
        <v>690.3</v>
      </c>
      <c r="K198" s="53">
        <v>595.5</v>
      </c>
      <c r="L198" s="53">
        <v>699.3</v>
      </c>
      <c r="M198" s="65">
        <v>729.6</v>
      </c>
      <c r="N198" s="65">
        <v>670</v>
      </c>
      <c r="O198" s="67">
        <v>760.5</v>
      </c>
      <c r="P198" s="67">
        <v>736.2</v>
      </c>
      <c r="Q198" s="67">
        <v>760.6</v>
      </c>
      <c r="R198" s="67">
        <v>760.5</v>
      </c>
      <c r="S198" s="67">
        <v>760.5</v>
      </c>
      <c r="T198" s="67">
        <v>760.5</v>
      </c>
      <c r="U198" s="53">
        <f>J198+K198+L198+M198+O198+Q198+R198+S198+T198</f>
        <v>6517.3</v>
      </c>
      <c r="V198" s="88">
        <v>2024</v>
      </c>
      <c r="W198" s="4">
        <f t="shared" si="41"/>
        <v>90.5</v>
      </c>
      <c r="X198" s="4">
        <f t="shared" si="42"/>
        <v>24.4</v>
      </c>
      <c r="Y198" s="4"/>
      <c r="Z198" s="3"/>
    </row>
    <row r="199" spans="1:26" s="7" customFormat="1" ht="12.75">
      <c r="A199" s="33" t="s">
        <v>254</v>
      </c>
      <c r="B199" s="34">
        <v>1</v>
      </c>
      <c r="C199" s="34">
        <v>1</v>
      </c>
      <c r="D199" s="34">
        <v>7</v>
      </c>
      <c r="E199" s="34">
        <v>0</v>
      </c>
      <c r="F199" s="34">
        <v>2</v>
      </c>
      <c r="G199" s="34">
        <v>2</v>
      </c>
      <c r="H199" s="51" t="s">
        <v>257</v>
      </c>
      <c r="I199" s="34" t="s">
        <v>255</v>
      </c>
      <c r="J199" s="53">
        <v>0</v>
      </c>
      <c r="K199" s="53">
        <v>325.8</v>
      </c>
      <c r="L199" s="53">
        <v>0</v>
      </c>
      <c r="M199" s="65">
        <v>0</v>
      </c>
      <c r="N199" s="65">
        <v>0</v>
      </c>
      <c r="O199" s="67">
        <v>0</v>
      </c>
      <c r="P199" s="67">
        <v>0</v>
      </c>
      <c r="Q199" s="67">
        <v>0</v>
      </c>
      <c r="R199" s="65"/>
      <c r="S199" s="65"/>
      <c r="T199" s="65"/>
      <c r="U199" s="53">
        <f>J199+K199+L199+M199+O199+Q199+R199+S199+T199</f>
        <v>325.8</v>
      </c>
      <c r="V199" s="88">
        <v>2017</v>
      </c>
      <c r="W199" s="4">
        <f t="shared" si="41"/>
        <v>0</v>
      </c>
      <c r="X199" s="4">
        <f t="shared" si="42"/>
        <v>0</v>
      </c>
      <c r="Y199" s="4"/>
      <c r="Z199" s="3"/>
    </row>
    <row r="200" spans="1:24" ht="38.25">
      <c r="A200" s="33" t="s">
        <v>254</v>
      </c>
      <c r="B200" s="34">
        <v>1</v>
      </c>
      <c r="C200" s="34">
        <v>1</v>
      </c>
      <c r="D200" s="34">
        <v>7</v>
      </c>
      <c r="E200" s="34">
        <v>0</v>
      </c>
      <c r="F200" s="34">
        <v>2</v>
      </c>
      <c r="G200" s="35"/>
      <c r="H200" s="39" t="s">
        <v>64</v>
      </c>
      <c r="I200" s="35" t="s">
        <v>294</v>
      </c>
      <c r="J200" s="48">
        <v>40</v>
      </c>
      <c r="K200" s="48">
        <v>39</v>
      </c>
      <c r="L200" s="48">
        <v>34</v>
      </c>
      <c r="M200" s="97">
        <v>34</v>
      </c>
      <c r="N200" s="97">
        <v>38</v>
      </c>
      <c r="O200" s="70">
        <v>34</v>
      </c>
      <c r="P200" s="70">
        <v>39</v>
      </c>
      <c r="Q200" s="70">
        <v>34</v>
      </c>
      <c r="R200" s="97">
        <v>34</v>
      </c>
      <c r="S200" s="97">
        <v>34</v>
      </c>
      <c r="T200" s="97">
        <v>34</v>
      </c>
      <c r="U200" s="48">
        <f>SUM(J200:T200)/9</f>
        <v>44</v>
      </c>
      <c r="V200" s="90">
        <v>2024</v>
      </c>
      <c r="W200" s="4">
        <f t="shared" si="41"/>
        <v>-4</v>
      </c>
      <c r="X200" s="4">
        <f t="shared" si="42"/>
        <v>-5</v>
      </c>
    </row>
    <row r="201" spans="1:24" ht="51">
      <c r="A201" s="33" t="s">
        <v>254</v>
      </c>
      <c r="B201" s="34">
        <v>1</v>
      </c>
      <c r="C201" s="34">
        <v>1</v>
      </c>
      <c r="D201" s="34">
        <v>7</v>
      </c>
      <c r="E201" s="34">
        <v>0</v>
      </c>
      <c r="F201" s="34">
        <v>2</v>
      </c>
      <c r="G201" s="35"/>
      <c r="H201" s="39" t="s">
        <v>319</v>
      </c>
      <c r="I201" s="35" t="s">
        <v>283</v>
      </c>
      <c r="J201" s="48">
        <v>190</v>
      </c>
      <c r="K201" s="48">
        <v>195</v>
      </c>
      <c r="L201" s="48">
        <v>252</v>
      </c>
      <c r="M201" s="58">
        <v>209</v>
      </c>
      <c r="N201" s="58">
        <v>205</v>
      </c>
      <c r="O201" s="58">
        <v>215</v>
      </c>
      <c r="P201" s="58">
        <v>207</v>
      </c>
      <c r="Q201" s="58">
        <v>215</v>
      </c>
      <c r="R201" s="58">
        <v>215</v>
      </c>
      <c r="S201" s="58">
        <v>215</v>
      </c>
      <c r="T201" s="58">
        <v>215</v>
      </c>
      <c r="U201" s="58">
        <f>SUM(J201:T201)</f>
        <v>2333</v>
      </c>
      <c r="V201" s="90">
        <v>2024</v>
      </c>
      <c r="W201" s="4">
        <f aca="true" t="shared" si="60" ref="W201:W264">O201-N201</f>
        <v>10</v>
      </c>
      <c r="X201" s="4">
        <f aca="true" t="shared" si="61" ref="X201:X264">Q201-P201</f>
        <v>8</v>
      </c>
    </row>
    <row r="202" spans="1:24" ht="25.5">
      <c r="A202" s="33" t="s">
        <v>254</v>
      </c>
      <c r="B202" s="34">
        <v>1</v>
      </c>
      <c r="C202" s="34">
        <v>1</v>
      </c>
      <c r="D202" s="34">
        <v>7</v>
      </c>
      <c r="E202" s="34">
        <v>0</v>
      </c>
      <c r="F202" s="34">
        <v>2</v>
      </c>
      <c r="G202" s="35"/>
      <c r="H202" s="54" t="s">
        <v>320</v>
      </c>
      <c r="I202" s="35" t="s">
        <v>283</v>
      </c>
      <c r="J202" s="48">
        <v>70</v>
      </c>
      <c r="K202" s="48">
        <v>75</v>
      </c>
      <c r="L202" s="48">
        <v>180</v>
      </c>
      <c r="M202" s="58">
        <v>241</v>
      </c>
      <c r="N202" s="58">
        <v>82</v>
      </c>
      <c r="O202" s="58">
        <v>245</v>
      </c>
      <c r="P202" s="58">
        <v>86</v>
      </c>
      <c r="Q202" s="58">
        <v>250</v>
      </c>
      <c r="R202" s="58">
        <v>255</v>
      </c>
      <c r="S202" s="58">
        <v>255</v>
      </c>
      <c r="T202" s="58">
        <v>255</v>
      </c>
      <c r="U202" s="58">
        <f>SUM(J202:T202)</f>
        <v>1994</v>
      </c>
      <c r="V202" s="90">
        <v>2024</v>
      </c>
      <c r="W202" s="4">
        <f t="shared" si="60"/>
        <v>163</v>
      </c>
      <c r="X202" s="4">
        <f t="shared" si="61"/>
        <v>164</v>
      </c>
    </row>
    <row r="203" spans="1:24" ht="51">
      <c r="A203" s="33" t="s">
        <v>254</v>
      </c>
      <c r="B203" s="34">
        <v>1</v>
      </c>
      <c r="C203" s="34">
        <v>1</v>
      </c>
      <c r="D203" s="34">
        <v>7</v>
      </c>
      <c r="E203" s="34">
        <v>0</v>
      </c>
      <c r="F203" s="34">
        <v>2</v>
      </c>
      <c r="G203" s="35"/>
      <c r="H203" s="54" t="s">
        <v>120</v>
      </c>
      <c r="I203" s="35" t="s">
        <v>283</v>
      </c>
      <c r="J203" s="48">
        <v>74</v>
      </c>
      <c r="K203" s="48">
        <f>K202</f>
        <v>75</v>
      </c>
      <c r="L203" s="48">
        <v>42</v>
      </c>
      <c r="M203" s="70">
        <v>28</v>
      </c>
      <c r="N203" s="70">
        <v>82</v>
      </c>
      <c r="O203" s="70">
        <v>30</v>
      </c>
      <c r="P203" s="70">
        <v>86</v>
      </c>
      <c r="Q203" s="70">
        <v>31</v>
      </c>
      <c r="R203" s="97">
        <v>32</v>
      </c>
      <c r="S203" s="97">
        <v>32</v>
      </c>
      <c r="T203" s="97">
        <v>32</v>
      </c>
      <c r="U203" s="48">
        <f>SUM(J203:T203)</f>
        <v>544</v>
      </c>
      <c r="V203" s="90">
        <v>2024</v>
      </c>
      <c r="W203" s="4">
        <f t="shared" si="60"/>
        <v>-52</v>
      </c>
      <c r="X203" s="4">
        <f t="shared" si="61"/>
        <v>-55</v>
      </c>
    </row>
    <row r="204" spans="1:26" s="7" customFormat="1" ht="38.25">
      <c r="A204" s="31" t="s">
        <v>254</v>
      </c>
      <c r="B204" s="32">
        <v>1</v>
      </c>
      <c r="C204" s="32">
        <v>1</v>
      </c>
      <c r="D204" s="32">
        <v>8</v>
      </c>
      <c r="E204" s="32">
        <v>0</v>
      </c>
      <c r="F204" s="32">
        <v>0</v>
      </c>
      <c r="G204" s="32"/>
      <c r="H204" s="30" t="s">
        <v>321</v>
      </c>
      <c r="I204" s="32" t="s">
        <v>255</v>
      </c>
      <c r="J204" s="68">
        <f aca="true" t="shared" si="62" ref="J204:T204">J205+J206</f>
        <v>26686.6</v>
      </c>
      <c r="K204" s="68">
        <f t="shared" si="62"/>
        <v>5942.1</v>
      </c>
      <c r="L204" s="68">
        <f t="shared" si="62"/>
        <v>8544.7</v>
      </c>
      <c r="M204" s="68">
        <f t="shared" si="62"/>
        <v>9005.7</v>
      </c>
      <c r="N204" s="68">
        <f>N205+N206</f>
        <v>9072.6</v>
      </c>
      <c r="O204" s="68">
        <f t="shared" si="62"/>
        <v>11816.3</v>
      </c>
      <c r="P204" s="68">
        <f>P205+P206</f>
        <v>9072.6</v>
      </c>
      <c r="Q204" s="68">
        <f t="shared" si="62"/>
        <v>11816.3</v>
      </c>
      <c r="R204" s="68">
        <f t="shared" si="62"/>
        <v>11816.3</v>
      </c>
      <c r="S204" s="68">
        <f t="shared" si="62"/>
        <v>11816.3</v>
      </c>
      <c r="T204" s="68">
        <f t="shared" si="62"/>
        <v>11816.3</v>
      </c>
      <c r="U204" s="68">
        <f>J204+K204+L204+M204+O204+Q204+R204+S204+T204</f>
        <v>109260.6</v>
      </c>
      <c r="V204" s="32">
        <v>2024</v>
      </c>
      <c r="W204" s="4">
        <f t="shared" si="60"/>
        <v>2743.7</v>
      </c>
      <c r="X204" s="4">
        <f t="shared" si="61"/>
        <v>2743.7</v>
      </c>
      <c r="Y204" s="4"/>
      <c r="Z204" s="3"/>
    </row>
    <row r="205" spans="1:26" s="7" customFormat="1" ht="12.75">
      <c r="A205" s="33" t="s">
        <v>254</v>
      </c>
      <c r="B205" s="34">
        <v>1</v>
      </c>
      <c r="C205" s="34">
        <v>1</v>
      </c>
      <c r="D205" s="34">
        <v>8</v>
      </c>
      <c r="E205" s="34">
        <v>0</v>
      </c>
      <c r="F205" s="34">
        <v>0</v>
      </c>
      <c r="G205" s="34">
        <v>3</v>
      </c>
      <c r="H205" s="51" t="s">
        <v>256</v>
      </c>
      <c r="I205" s="34" t="s">
        <v>255</v>
      </c>
      <c r="J205" s="53">
        <f aca="true" t="shared" si="63" ref="J205:L206">J213</f>
        <v>9925.6</v>
      </c>
      <c r="K205" s="53">
        <f t="shared" si="63"/>
        <v>4123</v>
      </c>
      <c r="L205" s="53">
        <f t="shared" si="63"/>
        <v>6350</v>
      </c>
      <c r="M205" s="65">
        <f aca="true" t="shared" si="64" ref="M205:T206">M213</f>
        <v>6350</v>
      </c>
      <c r="N205" s="65">
        <f>N213</f>
        <v>6350</v>
      </c>
      <c r="O205" s="65">
        <f t="shared" si="64"/>
        <v>9093.7</v>
      </c>
      <c r="P205" s="65">
        <f>P213</f>
        <v>6350</v>
      </c>
      <c r="Q205" s="65">
        <f t="shared" si="64"/>
        <v>9093.7</v>
      </c>
      <c r="R205" s="65">
        <f t="shared" si="64"/>
        <v>9093.7</v>
      </c>
      <c r="S205" s="65">
        <f t="shared" si="64"/>
        <v>9093.7</v>
      </c>
      <c r="T205" s="65">
        <f t="shared" si="64"/>
        <v>9093.7</v>
      </c>
      <c r="U205" s="53">
        <f>J205+K205+L205+M205+O205+Q205+R205+S205+T205</f>
        <v>72217.1</v>
      </c>
      <c r="V205" s="88">
        <v>2024</v>
      </c>
      <c r="W205" s="4">
        <f t="shared" si="60"/>
        <v>2743.7</v>
      </c>
      <c r="X205" s="4">
        <f t="shared" si="61"/>
        <v>2743.7</v>
      </c>
      <c r="Y205" s="4"/>
      <c r="Z205" s="3"/>
    </row>
    <row r="206" spans="1:26" s="7" customFormat="1" ht="12.75">
      <c r="A206" s="33" t="s">
        <v>254</v>
      </c>
      <c r="B206" s="34">
        <v>1</v>
      </c>
      <c r="C206" s="34">
        <v>1</v>
      </c>
      <c r="D206" s="34">
        <v>8</v>
      </c>
      <c r="E206" s="34">
        <v>0</v>
      </c>
      <c r="F206" s="34">
        <v>0</v>
      </c>
      <c r="G206" s="34">
        <v>2</v>
      </c>
      <c r="H206" s="51" t="s">
        <v>257</v>
      </c>
      <c r="I206" s="34" t="s">
        <v>255</v>
      </c>
      <c r="J206" s="53">
        <f t="shared" si="63"/>
        <v>16761</v>
      </c>
      <c r="K206" s="53">
        <f t="shared" si="63"/>
        <v>1819.1</v>
      </c>
      <c r="L206" s="53">
        <f t="shared" si="63"/>
        <v>2194.7</v>
      </c>
      <c r="M206" s="65">
        <f t="shared" si="64"/>
        <v>2655.7</v>
      </c>
      <c r="N206" s="65">
        <f>N214</f>
        <v>2722.6</v>
      </c>
      <c r="O206" s="65">
        <f t="shared" si="64"/>
        <v>2722.6</v>
      </c>
      <c r="P206" s="65">
        <f>P214</f>
        <v>2722.6</v>
      </c>
      <c r="Q206" s="65">
        <f t="shared" si="64"/>
        <v>2722.6</v>
      </c>
      <c r="R206" s="65">
        <f t="shared" si="64"/>
        <v>2722.6</v>
      </c>
      <c r="S206" s="65">
        <f t="shared" si="64"/>
        <v>2722.6</v>
      </c>
      <c r="T206" s="65">
        <f t="shared" si="64"/>
        <v>2722.6</v>
      </c>
      <c r="U206" s="53">
        <f>J206+K206+L206+M206+O206+Q206+R206+S206+T206</f>
        <v>37043.5</v>
      </c>
      <c r="V206" s="88">
        <v>2024</v>
      </c>
      <c r="W206" s="4">
        <f t="shared" si="60"/>
        <v>0</v>
      </c>
      <c r="X206" s="4">
        <f t="shared" si="61"/>
        <v>0</v>
      </c>
      <c r="Y206" s="4"/>
      <c r="Z206" s="3"/>
    </row>
    <row r="207" spans="1:24" ht="63.75">
      <c r="A207" s="33" t="s">
        <v>254</v>
      </c>
      <c r="B207" s="34">
        <v>1</v>
      </c>
      <c r="C207" s="34">
        <v>1</v>
      </c>
      <c r="D207" s="34">
        <v>8</v>
      </c>
      <c r="E207" s="34">
        <v>0</v>
      </c>
      <c r="F207" s="34">
        <v>0</v>
      </c>
      <c r="G207" s="35"/>
      <c r="H207" s="39" t="s">
        <v>322</v>
      </c>
      <c r="I207" s="35" t="s">
        <v>294</v>
      </c>
      <c r="J207" s="48">
        <v>6</v>
      </c>
      <c r="K207" s="48">
        <v>7</v>
      </c>
      <c r="L207" s="48">
        <v>7</v>
      </c>
      <c r="M207" s="58">
        <v>7</v>
      </c>
      <c r="N207" s="58">
        <v>7</v>
      </c>
      <c r="O207" s="58">
        <v>9</v>
      </c>
      <c r="P207" s="58">
        <v>7</v>
      </c>
      <c r="Q207" s="58">
        <v>9</v>
      </c>
      <c r="R207" s="58">
        <v>9</v>
      </c>
      <c r="S207" s="58">
        <v>9</v>
      </c>
      <c r="T207" s="58">
        <v>9</v>
      </c>
      <c r="U207" s="58">
        <v>9</v>
      </c>
      <c r="V207" s="90">
        <v>2024</v>
      </c>
      <c r="W207" s="4">
        <f t="shared" si="60"/>
        <v>2</v>
      </c>
      <c r="X207" s="4">
        <f t="shared" si="61"/>
        <v>2</v>
      </c>
    </row>
    <row r="208" spans="1:24" ht="38.25">
      <c r="A208" s="33" t="s">
        <v>254</v>
      </c>
      <c r="B208" s="34">
        <v>1</v>
      </c>
      <c r="C208" s="34">
        <v>1</v>
      </c>
      <c r="D208" s="34">
        <v>8</v>
      </c>
      <c r="E208" s="34">
        <v>0</v>
      </c>
      <c r="F208" s="34">
        <v>0</v>
      </c>
      <c r="G208" s="35"/>
      <c r="H208" s="39" t="s">
        <v>78</v>
      </c>
      <c r="I208" s="35" t="s">
        <v>260</v>
      </c>
      <c r="J208" s="42">
        <v>18</v>
      </c>
      <c r="K208" s="42">
        <f>2996/19077*100</f>
        <v>15.7</v>
      </c>
      <c r="L208" s="42">
        <f>3281/19805*100</f>
        <v>16.6</v>
      </c>
      <c r="M208" s="56">
        <v>18.1</v>
      </c>
      <c r="N208" s="56">
        <v>19.5</v>
      </c>
      <c r="O208" s="56">
        <f>4307/20951*100</f>
        <v>20.6</v>
      </c>
      <c r="P208" s="56">
        <v>19.6</v>
      </c>
      <c r="Q208" s="56">
        <f>4307/21576*100</f>
        <v>20</v>
      </c>
      <c r="R208" s="56">
        <f>4307/21940*100</f>
        <v>19.6</v>
      </c>
      <c r="S208" s="56">
        <f>4307/21940*100</f>
        <v>19.6</v>
      </c>
      <c r="T208" s="56">
        <f>4307/21940*100</f>
        <v>19.6</v>
      </c>
      <c r="U208" s="56">
        <v>19.6</v>
      </c>
      <c r="V208" s="90">
        <v>2024</v>
      </c>
      <c r="W208" s="4">
        <f t="shared" si="60"/>
        <v>1.1</v>
      </c>
      <c r="X208" s="4">
        <f t="shared" si="61"/>
        <v>0.4</v>
      </c>
    </row>
    <row r="209" spans="1:24" ht="63.75">
      <c r="A209" s="33" t="s">
        <v>254</v>
      </c>
      <c r="B209" s="34">
        <v>1</v>
      </c>
      <c r="C209" s="34">
        <v>1</v>
      </c>
      <c r="D209" s="34">
        <v>8</v>
      </c>
      <c r="E209" s="34">
        <v>0</v>
      </c>
      <c r="F209" s="34">
        <v>0</v>
      </c>
      <c r="G209" s="35"/>
      <c r="H209" s="39" t="s">
        <v>121</v>
      </c>
      <c r="I209" s="35" t="s">
        <v>260</v>
      </c>
      <c r="J209" s="96">
        <v>1.1</v>
      </c>
      <c r="K209" s="96">
        <f>K205/K9*100</f>
        <v>0.3</v>
      </c>
      <c r="L209" s="96">
        <f>L205/L9*100</f>
        <v>0.5</v>
      </c>
      <c r="M209" s="80">
        <v>0.4</v>
      </c>
      <c r="N209" s="80">
        <v>0.5</v>
      </c>
      <c r="O209" s="80">
        <v>0.6</v>
      </c>
      <c r="P209" s="80">
        <v>0.4</v>
      </c>
      <c r="Q209" s="80">
        <v>0.6</v>
      </c>
      <c r="R209" s="80">
        <v>0.6</v>
      </c>
      <c r="S209" s="80">
        <v>0.6</v>
      </c>
      <c r="T209" s="80">
        <v>0.6</v>
      </c>
      <c r="U209" s="56">
        <v>0.6</v>
      </c>
      <c r="V209" s="90">
        <v>2024</v>
      </c>
      <c r="W209" s="4">
        <f t="shared" si="60"/>
        <v>0.1</v>
      </c>
      <c r="X209" s="4">
        <f t="shared" si="61"/>
        <v>0.2</v>
      </c>
    </row>
    <row r="210" spans="1:24" ht="63.75">
      <c r="A210" s="36" t="s">
        <v>254</v>
      </c>
      <c r="B210" s="37">
        <v>1</v>
      </c>
      <c r="C210" s="37">
        <v>1</v>
      </c>
      <c r="D210" s="37">
        <v>8</v>
      </c>
      <c r="E210" s="37">
        <v>0</v>
      </c>
      <c r="F210" s="37">
        <v>1</v>
      </c>
      <c r="G210" s="38"/>
      <c r="H210" s="43" t="s">
        <v>88</v>
      </c>
      <c r="I210" s="38" t="s">
        <v>279</v>
      </c>
      <c r="J210" s="44" t="s">
        <v>280</v>
      </c>
      <c r="K210" s="44" t="s">
        <v>280</v>
      </c>
      <c r="L210" s="44" t="s">
        <v>280</v>
      </c>
      <c r="M210" s="46" t="s">
        <v>280</v>
      </c>
      <c r="N210" s="46" t="s">
        <v>280</v>
      </c>
      <c r="O210" s="46" t="s">
        <v>280</v>
      </c>
      <c r="P210" s="46" t="s">
        <v>280</v>
      </c>
      <c r="Q210" s="46" t="s">
        <v>280</v>
      </c>
      <c r="R210" s="46" t="s">
        <v>280</v>
      </c>
      <c r="S210" s="46" t="s">
        <v>280</v>
      </c>
      <c r="T210" s="46" t="s">
        <v>280</v>
      </c>
      <c r="U210" s="46" t="s">
        <v>280</v>
      </c>
      <c r="V210" s="38">
        <v>2024</v>
      </c>
      <c r="W210" s="4"/>
      <c r="X210" s="4"/>
    </row>
    <row r="211" spans="1:24" ht="51">
      <c r="A211" s="33" t="s">
        <v>254</v>
      </c>
      <c r="B211" s="34">
        <v>1</v>
      </c>
      <c r="C211" s="34">
        <v>1</v>
      </c>
      <c r="D211" s="34">
        <v>8</v>
      </c>
      <c r="E211" s="34">
        <v>0</v>
      </c>
      <c r="F211" s="34">
        <v>1</v>
      </c>
      <c r="G211" s="35"/>
      <c r="H211" s="39" t="s">
        <v>162</v>
      </c>
      <c r="I211" s="35" t="s">
        <v>294</v>
      </c>
      <c r="J211" s="48">
        <v>2</v>
      </c>
      <c r="K211" s="48">
        <v>2</v>
      </c>
      <c r="L211" s="48">
        <v>2</v>
      </c>
      <c r="M211" s="97">
        <v>2</v>
      </c>
      <c r="N211" s="97">
        <v>2</v>
      </c>
      <c r="O211" s="70">
        <v>2</v>
      </c>
      <c r="P211" s="70">
        <v>2</v>
      </c>
      <c r="Q211" s="70">
        <v>2</v>
      </c>
      <c r="R211" s="97">
        <v>2</v>
      </c>
      <c r="S211" s="97">
        <v>2</v>
      </c>
      <c r="T211" s="97">
        <v>2</v>
      </c>
      <c r="U211" s="48">
        <f>J211+K211+L211+M211+O211+Q211+R211+S211+T211</f>
        <v>18</v>
      </c>
      <c r="V211" s="90">
        <v>2024</v>
      </c>
      <c r="W211" s="4">
        <f t="shared" si="60"/>
        <v>0</v>
      </c>
      <c r="X211" s="4">
        <f t="shared" si="61"/>
        <v>0</v>
      </c>
    </row>
    <row r="212" spans="1:26" s="7" customFormat="1" ht="63.75">
      <c r="A212" s="36" t="s">
        <v>254</v>
      </c>
      <c r="B212" s="37">
        <v>1</v>
      </c>
      <c r="C212" s="37">
        <v>1</v>
      </c>
      <c r="D212" s="37">
        <v>8</v>
      </c>
      <c r="E212" s="37">
        <v>0</v>
      </c>
      <c r="F212" s="37">
        <v>2</v>
      </c>
      <c r="G212" s="37"/>
      <c r="H212" s="49" t="s">
        <v>396</v>
      </c>
      <c r="I212" s="37" t="s">
        <v>255</v>
      </c>
      <c r="J212" s="45">
        <f>J213+J214</f>
        <v>26686.6</v>
      </c>
      <c r="K212" s="45">
        <f>K213+K214</f>
        <v>5942.1</v>
      </c>
      <c r="L212" s="45">
        <f>L213+L214</f>
        <v>8544.7</v>
      </c>
      <c r="M212" s="45">
        <f aca="true" t="shared" si="65" ref="M212:T212">M213+M214</f>
        <v>9005.7</v>
      </c>
      <c r="N212" s="45">
        <f t="shared" si="65"/>
        <v>9072.6</v>
      </c>
      <c r="O212" s="45">
        <f t="shared" si="65"/>
        <v>11816.3</v>
      </c>
      <c r="P212" s="45">
        <f t="shared" si="65"/>
        <v>9072.6</v>
      </c>
      <c r="Q212" s="45">
        <f t="shared" si="65"/>
        <v>11816.3</v>
      </c>
      <c r="R212" s="45">
        <f t="shared" si="65"/>
        <v>11816.3</v>
      </c>
      <c r="S212" s="45">
        <f t="shared" si="65"/>
        <v>11816.3</v>
      </c>
      <c r="T212" s="45">
        <f t="shared" si="65"/>
        <v>11816.3</v>
      </c>
      <c r="U212" s="45">
        <f>J212+K212+L212+M212+O212+Q212+S212+R212+T212</f>
        <v>109260.6</v>
      </c>
      <c r="V212" s="37">
        <v>2024</v>
      </c>
      <c r="W212" s="4">
        <f t="shared" si="60"/>
        <v>2743.7</v>
      </c>
      <c r="X212" s="4">
        <f t="shared" si="61"/>
        <v>2743.7</v>
      </c>
      <c r="Y212" s="4"/>
      <c r="Z212" s="3"/>
    </row>
    <row r="213" spans="1:26" s="7" customFormat="1" ht="12.75">
      <c r="A213" s="33" t="s">
        <v>254</v>
      </c>
      <c r="B213" s="34">
        <v>1</v>
      </c>
      <c r="C213" s="34">
        <v>1</v>
      </c>
      <c r="D213" s="34">
        <v>8</v>
      </c>
      <c r="E213" s="34">
        <v>0</v>
      </c>
      <c r="F213" s="34">
        <v>2</v>
      </c>
      <c r="G213" s="34">
        <v>3</v>
      </c>
      <c r="H213" s="51" t="s">
        <v>256</v>
      </c>
      <c r="I213" s="34" t="s">
        <v>255</v>
      </c>
      <c r="J213" s="53">
        <f>9850+2275.6-2200</f>
        <v>9925.6</v>
      </c>
      <c r="K213" s="53">
        <v>4123</v>
      </c>
      <c r="L213" s="53">
        <v>6350</v>
      </c>
      <c r="M213" s="65">
        <v>6350</v>
      </c>
      <c r="N213" s="65">
        <v>6350</v>
      </c>
      <c r="O213" s="67">
        <v>9093.7</v>
      </c>
      <c r="P213" s="67">
        <v>6350</v>
      </c>
      <c r="Q213" s="67">
        <v>9093.7</v>
      </c>
      <c r="R213" s="67">
        <v>9093.7</v>
      </c>
      <c r="S213" s="67">
        <v>9093.7</v>
      </c>
      <c r="T213" s="67">
        <v>9093.7</v>
      </c>
      <c r="U213" s="53">
        <f>J213+K213+L213+M213+O213+Q213+R213+S213+T213</f>
        <v>72217.1</v>
      </c>
      <c r="V213" s="88">
        <v>2024</v>
      </c>
      <c r="W213" s="4">
        <f t="shared" si="60"/>
        <v>2743.7</v>
      </c>
      <c r="X213" s="4">
        <f t="shared" si="61"/>
        <v>2743.7</v>
      </c>
      <c r="Y213" s="4"/>
      <c r="Z213" s="3"/>
    </row>
    <row r="214" spans="1:26" s="7" customFormat="1" ht="12.75">
      <c r="A214" s="33" t="s">
        <v>254</v>
      </c>
      <c r="B214" s="34">
        <v>1</v>
      </c>
      <c r="C214" s="34">
        <v>1</v>
      </c>
      <c r="D214" s="34">
        <v>8</v>
      </c>
      <c r="E214" s="34">
        <v>0</v>
      </c>
      <c r="F214" s="34">
        <v>2</v>
      </c>
      <c r="G214" s="34">
        <v>2</v>
      </c>
      <c r="H214" s="51" t="s">
        <v>257</v>
      </c>
      <c r="I214" s="34" t="s">
        <v>255</v>
      </c>
      <c r="J214" s="53">
        <f>28761-12000</f>
        <v>16761</v>
      </c>
      <c r="K214" s="53">
        <f>2043.2-224.1</f>
        <v>1819.1</v>
      </c>
      <c r="L214" s="53">
        <v>2194.7</v>
      </c>
      <c r="M214" s="65">
        <v>2655.7</v>
      </c>
      <c r="N214" s="65">
        <v>2722.6</v>
      </c>
      <c r="O214" s="67">
        <v>2722.6</v>
      </c>
      <c r="P214" s="67">
        <v>2722.6</v>
      </c>
      <c r="Q214" s="67">
        <v>2722.6</v>
      </c>
      <c r="R214" s="67">
        <v>2722.6</v>
      </c>
      <c r="S214" s="67">
        <v>2722.6</v>
      </c>
      <c r="T214" s="67">
        <v>2722.6</v>
      </c>
      <c r="U214" s="53">
        <f>J214+K214+L214+M214+O214+Q214+R214+S214+T214</f>
        <v>37043.5</v>
      </c>
      <c r="V214" s="88">
        <v>2024</v>
      </c>
      <c r="W214" s="4">
        <f t="shared" si="60"/>
        <v>0</v>
      </c>
      <c r="X214" s="4">
        <f t="shared" si="61"/>
        <v>0</v>
      </c>
      <c r="Y214" s="4"/>
      <c r="Z214" s="3"/>
    </row>
    <row r="215" spans="1:24" ht="63.75">
      <c r="A215" s="33" t="s">
        <v>254</v>
      </c>
      <c r="B215" s="34">
        <v>1</v>
      </c>
      <c r="C215" s="34">
        <v>1</v>
      </c>
      <c r="D215" s="34">
        <v>8</v>
      </c>
      <c r="E215" s="34">
        <v>0</v>
      </c>
      <c r="F215" s="34">
        <v>2</v>
      </c>
      <c r="G215" s="35"/>
      <c r="H215" s="54" t="s">
        <v>75</v>
      </c>
      <c r="I215" s="35" t="s">
        <v>260</v>
      </c>
      <c r="J215" s="42">
        <v>4</v>
      </c>
      <c r="K215" s="42">
        <f>904/19077*100</f>
        <v>4.7</v>
      </c>
      <c r="L215" s="42">
        <f>922/19805*100</f>
        <v>4.7</v>
      </c>
      <c r="M215" s="63">
        <v>5.5</v>
      </c>
      <c r="N215" s="63">
        <v>5</v>
      </c>
      <c r="O215" s="41">
        <f>1250/20951*100</f>
        <v>6</v>
      </c>
      <c r="P215" s="41">
        <v>4.9</v>
      </c>
      <c r="Q215" s="41">
        <f>1250/21576*100</f>
        <v>5.8</v>
      </c>
      <c r="R215" s="41">
        <f>1250/21940*100</f>
        <v>5.7</v>
      </c>
      <c r="S215" s="41">
        <f>1250/21940*100</f>
        <v>5.7</v>
      </c>
      <c r="T215" s="41">
        <f>1250/21940*100</f>
        <v>5.7</v>
      </c>
      <c r="U215" s="42">
        <f>(J215+K215+L215+M215+O215+Q215+R215+S215+T215)/9</f>
        <v>5.3</v>
      </c>
      <c r="V215" s="90">
        <v>2024</v>
      </c>
      <c r="W215" s="4">
        <f t="shared" si="60"/>
        <v>1</v>
      </c>
      <c r="X215" s="4">
        <f t="shared" si="61"/>
        <v>0.9</v>
      </c>
    </row>
    <row r="216" spans="1:24" ht="57" customHeight="1">
      <c r="A216" s="33" t="s">
        <v>254</v>
      </c>
      <c r="B216" s="34">
        <v>1</v>
      </c>
      <c r="C216" s="34">
        <v>1</v>
      </c>
      <c r="D216" s="34">
        <v>8</v>
      </c>
      <c r="E216" s="34">
        <v>0</v>
      </c>
      <c r="F216" s="34">
        <v>2</v>
      </c>
      <c r="G216" s="35"/>
      <c r="H216" s="54" t="s">
        <v>74</v>
      </c>
      <c r="I216" s="35" t="s">
        <v>255</v>
      </c>
      <c r="J216" s="42">
        <f>J214/3000</f>
        <v>5.6</v>
      </c>
      <c r="K216" s="42">
        <v>2.3</v>
      </c>
      <c r="L216" s="42">
        <f>922/L214</f>
        <v>0.4</v>
      </c>
      <c r="M216" s="41">
        <v>2.4</v>
      </c>
      <c r="N216" s="41">
        <v>2.6</v>
      </c>
      <c r="O216" s="41">
        <v>2.2</v>
      </c>
      <c r="P216" s="41">
        <v>2.6</v>
      </c>
      <c r="Q216" s="41">
        <v>2.2</v>
      </c>
      <c r="R216" s="41">
        <v>2.2</v>
      </c>
      <c r="S216" s="41">
        <v>2.2</v>
      </c>
      <c r="T216" s="41">
        <v>2.2</v>
      </c>
      <c r="U216" s="42">
        <f>(J216+K216+L216+M216+O216+Q216+R216+S216+T216)/9</f>
        <v>2.4</v>
      </c>
      <c r="V216" s="90">
        <v>2024</v>
      </c>
      <c r="W216" s="4">
        <f t="shared" si="60"/>
        <v>-0.4</v>
      </c>
      <c r="X216" s="4">
        <f t="shared" si="61"/>
        <v>-0.4</v>
      </c>
    </row>
    <row r="217" spans="1:24" ht="38.25">
      <c r="A217" s="33" t="s">
        <v>254</v>
      </c>
      <c r="B217" s="34">
        <v>1</v>
      </c>
      <c r="C217" s="34">
        <v>1</v>
      </c>
      <c r="D217" s="34">
        <v>8</v>
      </c>
      <c r="E217" s="34">
        <v>0</v>
      </c>
      <c r="F217" s="34">
        <v>2</v>
      </c>
      <c r="G217" s="35"/>
      <c r="H217" s="54" t="s">
        <v>325</v>
      </c>
      <c r="I217" s="35" t="s">
        <v>283</v>
      </c>
      <c r="J217" s="48">
        <v>3000</v>
      </c>
      <c r="K217" s="48">
        <v>2996</v>
      </c>
      <c r="L217" s="48">
        <v>3275</v>
      </c>
      <c r="M217" s="70">
        <v>3667</v>
      </c>
      <c r="N217" s="70">
        <v>4060</v>
      </c>
      <c r="O217" s="70">
        <v>4307</v>
      </c>
      <c r="P217" s="70">
        <v>4165</v>
      </c>
      <c r="Q217" s="70">
        <v>4307</v>
      </c>
      <c r="R217" s="70">
        <v>4307</v>
      </c>
      <c r="S217" s="70">
        <v>4307</v>
      </c>
      <c r="T217" s="70">
        <v>4307</v>
      </c>
      <c r="U217" s="111">
        <f>J217+K217+L217+M217+O217+Q217+R217+S217+T217</f>
        <v>34473</v>
      </c>
      <c r="V217" s="90">
        <v>2024</v>
      </c>
      <c r="W217" s="4">
        <f t="shared" si="60"/>
        <v>247</v>
      </c>
      <c r="X217" s="4">
        <f t="shared" si="61"/>
        <v>142</v>
      </c>
    </row>
    <row r="218" spans="1:26" s="7" customFormat="1" ht="38.25">
      <c r="A218" s="31" t="s">
        <v>254</v>
      </c>
      <c r="B218" s="32">
        <v>1</v>
      </c>
      <c r="C218" s="32">
        <v>1</v>
      </c>
      <c r="D218" s="32">
        <v>9</v>
      </c>
      <c r="E218" s="32">
        <v>0</v>
      </c>
      <c r="F218" s="32">
        <v>0</v>
      </c>
      <c r="G218" s="32"/>
      <c r="H218" s="30" t="s">
        <v>323</v>
      </c>
      <c r="I218" s="32" t="s">
        <v>255</v>
      </c>
      <c r="J218" s="68">
        <f>J219</f>
        <v>9999.9</v>
      </c>
      <c r="K218" s="68">
        <f aca="true" t="shared" si="66" ref="K218:T218">K219+K220</f>
        <v>10555.9</v>
      </c>
      <c r="L218" s="68">
        <f t="shared" si="66"/>
        <v>12931</v>
      </c>
      <c r="M218" s="68">
        <f t="shared" si="66"/>
        <v>13900.7</v>
      </c>
      <c r="N218" s="68">
        <f>N219+N220</f>
        <v>12595.4</v>
      </c>
      <c r="O218" s="68">
        <f t="shared" si="66"/>
        <v>15961.1</v>
      </c>
      <c r="P218" s="68">
        <f>P219+P220</f>
        <v>12595.4</v>
      </c>
      <c r="Q218" s="68">
        <f t="shared" si="66"/>
        <v>15729.9</v>
      </c>
      <c r="R218" s="68">
        <f t="shared" si="66"/>
        <v>17264</v>
      </c>
      <c r="S218" s="68">
        <f t="shared" si="66"/>
        <v>17264</v>
      </c>
      <c r="T218" s="68">
        <f t="shared" si="66"/>
        <v>17264</v>
      </c>
      <c r="U218" s="68">
        <f>J218+K218+L218+M218+O218+Q218+R218+S218+T218</f>
        <v>130870.5</v>
      </c>
      <c r="V218" s="32">
        <v>2024</v>
      </c>
      <c r="W218" s="4">
        <f t="shared" si="60"/>
        <v>3365.7</v>
      </c>
      <c r="X218" s="4">
        <f t="shared" si="61"/>
        <v>3134.5</v>
      </c>
      <c r="Y218" s="4"/>
      <c r="Z218" s="3"/>
    </row>
    <row r="219" spans="1:26" s="7" customFormat="1" ht="12.75">
      <c r="A219" s="33" t="s">
        <v>254</v>
      </c>
      <c r="B219" s="34">
        <v>1</v>
      </c>
      <c r="C219" s="34">
        <v>1</v>
      </c>
      <c r="D219" s="34">
        <v>9</v>
      </c>
      <c r="E219" s="34">
        <v>0</v>
      </c>
      <c r="F219" s="34">
        <v>0</v>
      </c>
      <c r="G219" s="34">
        <v>3</v>
      </c>
      <c r="H219" s="51" t="s">
        <v>256</v>
      </c>
      <c r="I219" s="34" t="s">
        <v>255</v>
      </c>
      <c r="J219" s="53">
        <f aca="true" t="shared" si="67" ref="J219:T219">J228</f>
        <v>9999.9</v>
      </c>
      <c r="K219" s="53">
        <f t="shared" si="67"/>
        <v>10180.9</v>
      </c>
      <c r="L219" s="53">
        <f t="shared" si="67"/>
        <v>11438.3</v>
      </c>
      <c r="M219" s="65">
        <f t="shared" si="67"/>
        <v>13900.7</v>
      </c>
      <c r="N219" s="65">
        <f>N228</f>
        <v>12595.4</v>
      </c>
      <c r="O219" s="65">
        <f t="shared" si="67"/>
        <v>15961.1</v>
      </c>
      <c r="P219" s="65">
        <f>P228</f>
        <v>12595.4</v>
      </c>
      <c r="Q219" s="65">
        <f t="shared" si="67"/>
        <v>15729.9</v>
      </c>
      <c r="R219" s="65">
        <f t="shared" si="67"/>
        <v>17264</v>
      </c>
      <c r="S219" s="65">
        <f t="shared" si="67"/>
        <v>17264</v>
      </c>
      <c r="T219" s="65">
        <f t="shared" si="67"/>
        <v>17264</v>
      </c>
      <c r="U219" s="53">
        <f>J219+K219+L219+M219+O219+Q219+R219+S219+T219</f>
        <v>129002.8</v>
      </c>
      <c r="V219" s="88">
        <v>2024</v>
      </c>
      <c r="W219" s="4">
        <f t="shared" si="60"/>
        <v>3365.7</v>
      </c>
      <c r="X219" s="4">
        <f t="shared" si="61"/>
        <v>3134.5</v>
      </c>
      <c r="Y219" s="4"/>
      <c r="Z219" s="3"/>
    </row>
    <row r="220" spans="1:26" s="7" customFormat="1" ht="12.75">
      <c r="A220" s="33" t="s">
        <v>254</v>
      </c>
      <c r="B220" s="34">
        <v>1</v>
      </c>
      <c r="C220" s="34">
        <v>1</v>
      </c>
      <c r="D220" s="34">
        <v>9</v>
      </c>
      <c r="E220" s="34">
        <v>0</v>
      </c>
      <c r="F220" s="34">
        <v>0</v>
      </c>
      <c r="G220" s="34">
        <v>3</v>
      </c>
      <c r="H220" s="51" t="s">
        <v>207</v>
      </c>
      <c r="I220" s="34" t="s">
        <v>255</v>
      </c>
      <c r="J220" s="53">
        <v>0</v>
      </c>
      <c r="K220" s="53">
        <f>K229</f>
        <v>375</v>
      </c>
      <c r="L220" s="53">
        <f>L229</f>
        <v>1492.7</v>
      </c>
      <c r="M220" s="65">
        <v>0</v>
      </c>
      <c r="N220" s="65"/>
      <c r="O220" s="67">
        <v>0</v>
      </c>
      <c r="P220" s="67"/>
      <c r="Q220" s="67">
        <v>0</v>
      </c>
      <c r="R220" s="65">
        <f>R229</f>
        <v>0</v>
      </c>
      <c r="S220" s="65">
        <f>S229</f>
        <v>0</v>
      </c>
      <c r="T220" s="65">
        <f>T229</f>
        <v>0</v>
      </c>
      <c r="U220" s="53">
        <f>J220+K220+L220+M220+O220+Q220+R220+S220+T220</f>
        <v>1867.7</v>
      </c>
      <c r="V220" s="112">
        <v>2018</v>
      </c>
      <c r="W220" s="4">
        <f t="shared" si="60"/>
        <v>0</v>
      </c>
      <c r="X220" s="4">
        <f t="shared" si="61"/>
        <v>0</v>
      </c>
      <c r="Y220" s="4"/>
      <c r="Z220" s="3"/>
    </row>
    <row r="221" spans="1:24" ht="63.75">
      <c r="A221" s="33" t="s">
        <v>254</v>
      </c>
      <c r="B221" s="34">
        <v>1</v>
      </c>
      <c r="C221" s="34">
        <v>1</v>
      </c>
      <c r="D221" s="34">
        <v>9</v>
      </c>
      <c r="E221" s="34">
        <v>0</v>
      </c>
      <c r="F221" s="34">
        <v>0</v>
      </c>
      <c r="G221" s="35"/>
      <c r="H221" s="39" t="s">
        <v>73</v>
      </c>
      <c r="I221" s="35" t="s">
        <v>260</v>
      </c>
      <c r="J221" s="42">
        <v>100</v>
      </c>
      <c r="K221" s="42">
        <v>100</v>
      </c>
      <c r="L221" s="42">
        <v>100</v>
      </c>
      <c r="M221" s="63">
        <v>100</v>
      </c>
      <c r="N221" s="63">
        <v>100</v>
      </c>
      <c r="O221" s="41">
        <v>100</v>
      </c>
      <c r="P221" s="41">
        <v>100</v>
      </c>
      <c r="Q221" s="41">
        <v>100</v>
      </c>
      <c r="R221" s="41">
        <v>100</v>
      </c>
      <c r="S221" s="41">
        <v>100</v>
      </c>
      <c r="T221" s="41">
        <v>100</v>
      </c>
      <c r="U221" s="42">
        <v>100</v>
      </c>
      <c r="V221" s="90">
        <v>2024</v>
      </c>
      <c r="W221" s="4">
        <f t="shared" si="60"/>
        <v>0</v>
      </c>
      <c r="X221" s="4">
        <f t="shared" si="61"/>
        <v>0</v>
      </c>
    </row>
    <row r="222" spans="1:24" ht="76.5">
      <c r="A222" s="33" t="s">
        <v>254</v>
      </c>
      <c r="B222" s="34">
        <v>1</v>
      </c>
      <c r="C222" s="34">
        <v>1</v>
      </c>
      <c r="D222" s="34">
        <v>9</v>
      </c>
      <c r="E222" s="34">
        <v>0</v>
      </c>
      <c r="F222" s="34">
        <v>0</v>
      </c>
      <c r="G222" s="35"/>
      <c r="H222" s="39" t="s">
        <v>125</v>
      </c>
      <c r="I222" s="35" t="s">
        <v>260</v>
      </c>
      <c r="J222" s="96">
        <f>J219/J9*100</f>
        <v>0.9</v>
      </c>
      <c r="K222" s="96">
        <f>K219/K9*100</f>
        <v>0.8</v>
      </c>
      <c r="L222" s="96">
        <f>L219/L9*100</f>
        <v>0.8</v>
      </c>
      <c r="M222" s="80">
        <v>0.8</v>
      </c>
      <c r="N222" s="80">
        <v>0.9</v>
      </c>
      <c r="O222" s="80">
        <v>1</v>
      </c>
      <c r="P222" s="80">
        <v>0.9</v>
      </c>
      <c r="Q222" s="80">
        <v>1</v>
      </c>
      <c r="R222" s="80">
        <v>1.1</v>
      </c>
      <c r="S222" s="80">
        <v>1.1</v>
      </c>
      <c r="T222" s="80">
        <v>1.1</v>
      </c>
      <c r="U222" s="80">
        <f>(J222+K222+L222+M222+O222+Q222+R222+S222+T222)/9</f>
        <v>1</v>
      </c>
      <c r="V222" s="90">
        <v>2024</v>
      </c>
      <c r="W222" s="4">
        <f t="shared" si="60"/>
        <v>0.1</v>
      </c>
      <c r="X222" s="4">
        <f t="shared" si="61"/>
        <v>0.1</v>
      </c>
    </row>
    <row r="223" spans="1:24" ht="102">
      <c r="A223" s="33" t="s">
        <v>254</v>
      </c>
      <c r="B223" s="34">
        <v>1</v>
      </c>
      <c r="C223" s="34">
        <v>1</v>
      </c>
      <c r="D223" s="34">
        <v>9</v>
      </c>
      <c r="E223" s="34">
        <v>0</v>
      </c>
      <c r="F223" s="34">
        <v>0</v>
      </c>
      <c r="G223" s="35"/>
      <c r="H223" s="39" t="s">
        <v>169</v>
      </c>
      <c r="I223" s="35" t="s">
        <v>283</v>
      </c>
      <c r="J223" s="104">
        <v>0</v>
      </c>
      <c r="K223" s="48">
        <v>1230</v>
      </c>
      <c r="L223" s="48">
        <v>1300</v>
      </c>
      <c r="M223" s="58">
        <v>1320</v>
      </c>
      <c r="N223" s="58">
        <v>1320</v>
      </c>
      <c r="O223" s="58">
        <v>1320</v>
      </c>
      <c r="P223" s="58">
        <v>1320</v>
      </c>
      <c r="Q223" s="58">
        <v>1320</v>
      </c>
      <c r="R223" s="58">
        <v>1320</v>
      </c>
      <c r="S223" s="58">
        <v>1320</v>
      </c>
      <c r="T223" s="58">
        <v>1320</v>
      </c>
      <c r="U223" s="58">
        <f>J223+K223+L223+M223+O223+Q223+R223+S223+T223</f>
        <v>10450</v>
      </c>
      <c r="V223" s="90">
        <v>2024</v>
      </c>
      <c r="W223" s="4">
        <f t="shared" si="60"/>
        <v>0</v>
      </c>
      <c r="X223" s="4">
        <f t="shared" si="61"/>
        <v>0</v>
      </c>
    </row>
    <row r="224" spans="1:24" ht="51">
      <c r="A224" s="33" t="s">
        <v>254</v>
      </c>
      <c r="B224" s="34">
        <v>1</v>
      </c>
      <c r="C224" s="34">
        <v>1</v>
      </c>
      <c r="D224" s="34">
        <v>9</v>
      </c>
      <c r="E224" s="34">
        <v>0</v>
      </c>
      <c r="F224" s="34">
        <v>0</v>
      </c>
      <c r="G224" s="35"/>
      <c r="H224" s="39" t="s">
        <v>269</v>
      </c>
      <c r="I224" s="35" t="s">
        <v>294</v>
      </c>
      <c r="J224" s="137">
        <v>0</v>
      </c>
      <c r="K224" s="47">
        <v>0</v>
      </c>
      <c r="L224" s="47">
        <v>0</v>
      </c>
      <c r="M224" s="58">
        <v>3973</v>
      </c>
      <c r="N224" s="58">
        <v>3700</v>
      </c>
      <c r="O224" s="58">
        <v>4000</v>
      </c>
      <c r="P224" s="58">
        <v>3900</v>
      </c>
      <c r="Q224" s="58">
        <v>4100</v>
      </c>
      <c r="R224" s="58">
        <v>4200</v>
      </c>
      <c r="S224" s="58">
        <v>4200</v>
      </c>
      <c r="T224" s="58">
        <v>4200</v>
      </c>
      <c r="U224" s="58">
        <f>J224+K224+L224+M224+O224+Q224+R224+S224+T224</f>
        <v>24673</v>
      </c>
      <c r="V224" s="35">
        <v>2024</v>
      </c>
      <c r="W224" s="4">
        <f t="shared" si="60"/>
        <v>300</v>
      </c>
      <c r="X224" s="4">
        <f t="shared" si="61"/>
        <v>200</v>
      </c>
    </row>
    <row r="225" spans="1:24" ht="38.25">
      <c r="A225" s="36" t="s">
        <v>254</v>
      </c>
      <c r="B225" s="37">
        <v>1</v>
      </c>
      <c r="C225" s="37">
        <v>1</v>
      </c>
      <c r="D225" s="37">
        <v>9</v>
      </c>
      <c r="E225" s="37">
        <v>0</v>
      </c>
      <c r="F225" s="37">
        <v>1</v>
      </c>
      <c r="G225" s="38"/>
      <c r="H225" s="43" t="s">
        <v>219</v>
      </c>
      <c r="I225" s="38" t="s">
        <v>279</v>
      </c>
      <c r="J225" s="44" t="s">
        <v>280</v>
      </c>
      <c r="K225" s="44" t="s">
        <v>280</v>
      </c>
      <c r="L225" s="44" t="s">
        <v>280</v>
      </c>
      <c r="M225" s="46" t="s">
        <v>280</v>
      </c>
      <c r="N225" s="46" t="s">
        <v>280</v>
      </c>
      <c r="O225" s="46" t="s">
        <v>280</v>
      </c>
      <c r="P225" s="46" t="s">
        <v>280</v>
      </c>
      <c r="Q225" s="46" t="s">
        <v>280</v>
      </c>
      <c r="R225" s="46" t="s">
        <v>280</v>
      </c>
      <c r="S225" s="46" t="s">
        <v>280</v>
      </c>
      <c r="T225" s="46" t="s">
        <v>280</v>
      </c>
      <c r="U225" s="46" t="s">
        <v>280</v>
      </c>
      <c r="V225" s="38">
        <v>2024</v>
      </c>
      <c r="W225" s="4"/>
      <c r="X225" s="4"/>
    </row>
    <row r="226" spans="1:24" ht="51">
      <c r="A226" s="33" t="s">
        <v>254</v>
      </c>
      <c r="B226" s="34">
        <v>1</v>
      </c>
      <c r="C226" s="34">
        <v>1</v>
      </c>
      <c r="D226" s="34">
        <v>9</v>
      </c>
      <c r="E226" s="34">
        <v>0</v>
      </c>
      <c r="F226" s="34">
        <v>1</v>
      </c>
      <c r="G226" s="35"/>
      <c r="H226" s="39" t="s">
        <v>324</v>
      </c>
      <c r="I226" s="35" t="s">
        <v>260</v>
      </c>
      <c r="J226" s="42">
        <v>100</v>
      </c>
      <c r="K226" s="42">
        <v>100</v>
      </c>
      <c r="L226" s="42">
        <v>100</v>
      </c>
      <c r="M226" s="63">
        <v>100</v>
      </c>
      <c r="N226" s="63">
        <v>100</v>
      </c>
      <c r="O226" s="41">
        <v>100</v>
      </c>
      <c r="P226" s="41">
        <v>100</v>
      </c>
      <c r="Q226" s="41">
        <v>100</v>
      </c>
      <c r="R226" s="41">
        <v>100</v>
      </c>
      <c r="S226" s="41">
        <v>100</v>
      </c>
      <c r="T226" s="41">
        <v>100</v>
      </c>
      <c r="U226" s="41">
        <v>100</v>
      </c>
      <c r="V226" s="90">
        <v>2024</v>
      </c>
      <c r="W226" s="4">
        <f t="shared" si="60"/>
        <v>0</v>
      </c>
      <c r="X226" s="4">
        <f t="shared" si="61"/>
        <v>0</v>
      </c>
    </row>
    <row r="227" spans="1:26" s="7" customFormat="1" ht="63.75">
      <c r="A227" s="36" t="s">
        <v>254</v>
      </c>
      <c r="B227" s="37">
        <v>1</v>
      </c>
      <c r="C227" s="37">
        <v>1</v>
      </c>
      <c r="D227" s="37">
        <v>9</v>
      </c>
      <c r="E227" s="37">
        <v>0</v>
      </c>
      <c r="F227" s="37">
        <v>2</v>
      </c>
      <c r="G227" s="37"/>
      <c r="H227" s="49" t="s">
        <v>397</v>
      </c>
      <c r="I227" s="37" t="s">
        <v>255</v>
      </c>
      <c r="J227" s="45">
        <f>J228</f>
        <v>9999.9</v>
      </c>
      <c r="K227" s="45">
        <f>K228+K229</f>
        <v>10555.9</v>
      </c>
      <c r="L227" s="45">
        <f>L228+L229</f>
        <v>12931</v>
      </c>
      <c r="M227" s="50">
        <f aca="true" t="shared" si="68" ref="M227:T227">M228</f>
        <v>13900.7</v>
      </c>
      <c r="N227" s="50">
        <f t="shared" si="68"/>
        <v>12595.4</v>
      </c>
      <c r="O227" s="50">
        <f t="shared" si="68"/>
        <v>15961.1</v>
      </c>
      <c r="P227" s="50">
        <f t="shared" si="68"/>
        <v>12595.4</v>
      </c>
      <c r="Q227" s="50">
        <f t="shared" si="68"/>
        <v>15729.9</v>
      </c>
      <c r="R227" s="50">
        <f t="shared" si="68"/>
        <v>17264</v>
      </c>
      <c r="S227" s="50">
        <f t="shared" si="68"/>
        <v>17264</v>
      </c>
      <c r="T227" s="50">
        <f t="shared" si="68"/>
        <v>17264</v>
      </c>
      <c r="U227" s="45">
        <f>J227+K227+L227+M227+O227+Q227+R227+S227+T227</f>
        <v>130870.5</v>
      </c>
      <c r="V227" s="37">
        <v>2024</v>
      </c>
      <c r="W227" s="4">
        <f t="shared" si="60"/>
        <v>3365.7</v>
      </c>
      <c r="X227" s="4">
        <f t="shared" si="61"/>
        <v>3134.5</v>
      </c>
      <c r="Y227" s="4"/>
      <c r="Z227" s="3"/>
    </row>
    <row r="228" spans="1:26" s="7" customFormat="1" ht="12.75">
      <c r="A228" s="33" t="s">
        <v>254</v>
      </c>
      <c r="B228" s="34">
        <v>1</v>
      </c>
      <c r="C228" s="34">
        <v>1</v>
      </c>
      <c r="D228" s="34">
        <v>9</v>
      </c>
      <c r="E228" s="34">
        <v>0</v>
      </c>
      <c r="F228" s="34">
        <v>2</v>
      </c>
      <c r="G228" s="34">
        <v>3</v>
      </c>
      <c r="H228" s="51" t="s">
        <v>256</v>
      </c>
      <c r="I228" s="34" t="s">
        <v>255</v>
      </c>
      <c r="J228" s="53">
        <f>10273-273.1</f>
        <v>9999.9</v>
      </c>
      <c r="K228" s="53">
        <v>10180.9</v>
      </c>
      <c r="L228" s="53">
        <v>11438.3</v>
      </c>
      <c r="M228" s="65">
        <v>13900.7</v>
      </c>
      <c r="N228" s="65">
        <v>12595.4</v>
      </c>
      <c r="O228" s="67">
        <v>15961.1</v>
      </c>
      <c r="P228" s="67">
        <v>12595.4</v>
      </c>
      <c r="Q228" s="67">
        <v>15729.9</v>
      </c>
      <c r="R228" s="67">
        <v>17264</v>
      </c>
      <c r="S228" s="67">
        <v>17264</v>
      </c>
      <c r="T228" s="67">
        <v>17264</v>
      </c>
      <c r="U228" s="53">
        <f>J228+K228+L228+M228+O228+Q228+R228+S228+T228</f>
        <v>129002.8</v>
      </c>
      <c r="V228" s="88">
        <v>2024</v>
      </c>
      <c r="W228" s="4">
        <f t="shared" si="60"/>
        <v>3365.7</v>
      </c>
      <c r="X228" s="4">
        <f t="shared" si="61"/>
        <v>3134.5</v>
      </c>
      <c r="Y228" s="4"/>
      <c r="Z228" s="3"/>
    </row>
    <row r="229" spans="1:26" s="7" customFormat="1" ht="12.75">
      <c r="A229" s="33" t="s">
        <v>254</v>
      </c>
      <c r="B229" s="34">
        <v>1</v>
      </c>
      <c r="C229" s="34">
        <v>1</v>
      </c>
      <c r="D229" s="34">
        <v>9</v>
      </c>
      <c r="E229" s="34">
        <v>0</v>
      </c>
      <c r="F229" s="34">
        <v>2</v>
      </c>
      <c r="G229" s="34">
        <v>3</v>
      </c>
      <c r="H229" s="51" t="s">
        <v>207</v>
      </c>
      <c r="I229" s="34" t="s">
        <v>255</v>
      </c>
      <c r="J229" s="53">
        <v>0</v>
      </c>
      <c r="K229" s="53">
        <f>374.9+0.05</f>
        <v>375</v>
      </c>
      <c r="L229" s="53">
        <v>1492.7</v>
      </c>
      <c r="M229" s="65">
        <v>0</v>
      </c>
      <c r="N229" s="65">
        <v>0</v>
      </c>
      <c r="O229" s="67">
        <v>0</v>
      </c>
      <c r="P229" s="67">
        <v>0</v>
      </c>
      <c r="Q229" s="67">
        <v>0</v>
      </c>
      <c r="R229" s="65">
        <v>0</v>
      </c>
      <c r="S229" s="65">
        <v>0</v>
      </c>
      <c r="T229" s="65">
        <v>0</v>
      </c>
      <c r="U229" s="53">
        <f>J229+K229+L229+M229+O229+Q229+R229+S229+T229</f>
        <v>1867.7</v>
      </c>
      <c r="V229" s="88">
        <v>2018</v>
      </c>
      <c r="W229" s="4">
        <f t="shared" si="60"/>
        <v>0</v>
      </c>
      <c r="X229" s="4">
        <f t="shared" si="61"/>
        <v>0</v>
      </c>
      <c r="Y229" s="4"/>
      <c r="Z229" s="3"/>
    </row>
    <row r="230" spans="1:24" ht="51">
      <c r="A230" s="33" t="s">
        <v>254</v>
      </c>
      <c r="B230" s="34">
        <v>1</v>
      </c>
      <c r="C230" s="34">
        <v>1</v>
      </c>
      <c r="D230" s="34">
        <v>9</v>
      </c>
      <c r="E230" s="34">
        <v>0</v>
      </c>
      <c r="F230" s="34">
        <v>2</v>
      </c>
      <c r="G230" s="35"/>
      <c r="H230" s="39" t="s">
        <v>85</v>
      </c>
      <c r="I230" s="35" t="s">
        <v>283</v>
      </c>
      <c r="J230" s="48">
        <v>1086</v>
      </c>
      <c r="K230" s="48">
        <v>0</v>
      </c>
      <c r="L230" s="48">
        <v>0</v>
      </c>
      <c r="M230" s="97">
        <v>0</v>
      </c>
      <c r="N230" s="97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0</v>
      </c>
      <c r="U230" s="48">
        <v>1086</v>
      </c>
      <c r="V230" s="90">
        <v>2016</v>
      </c>
      <c r="W230" s="4">
        <f t="shared" si="60"/>
        <v>0</v>
      </c>
      <c r="X230" s="4">
        <f t="shared" si="61"/>
        <v>0</v>
      </c>
    </row>
    <row r="231" spans="1:24" ht="89.25">
      <c r="A231" s="33" t="s">
        <v>254</v>
      </c>
      <c r="B231" s="34">
        <v>1</v>
      </c>
      <c r="C231" s="34">
        <v>1</v>
      </c>
      <c r="D231" s="34">
        <v>9</v>
      </c>
      <c r="E231" s="34">
        <v>0</v>
      </c>
      <c r="F231" s="34">
        <v>2</v>
      </c>
      <c r="G231" s="35"/>
      <c r="H231" s="39" t="s">
        <v>49</v>
      </c>
      <c r="I231" s="35" t="s">
        <v>208</v>
      </c>
      <c r="J231" s="48">
        <v>11795</v>
      </c>
      <c r="K231" s="48">
        <v>8400</v>
      </c>
      <c r="L231" s="48">
        <v>8400</v>
      </c>
      <c r="M231" s="97">
        <v>8400</v>
      </c>
      <c r="N231" s="97">
        <v>8400</v>
      </c>
      <c r="O231" s="70">
        <v>8400</v>
      </c>
      <c r="P231" s="70">
        <v>8400</v>
      </c>
      <c r="Q231" s="70">
        <v>8400</v>
      </c>
      <c r="R231" s="70">
        <v>8400</v>
      </c>
      <c r="S231" s="70">
        <v>8400</v>
      </c>
      <c r="T231" s="70">
        <v>8400</v>
      </c>
      <c r="U231" s="48">
        <f>(J231+K231+L231+M231+O231+Q231+R231+S231+T231)/9</f>
        <v>8777</v>
      </c>
      <c r="V231" s="90">
        <v>2024</v>
      </c>
      <c r="W231" s="4">
        <f t="shared" si="60"/>
        <v>0</v>
      </c>
      <c r="X231" s="4">
        <f t="shared" si="61"/>
        <v>0</v>
      </c>
    </row>
    <row r="232" spans="1:24" ht="51">
      <c r="A232" s="34" t="s">
        <v>254</v>
      </c>
      <c r="B232" s="34">
        <v>1</v>
      </c>
      <c r="C232" s="34">
        <v>1</v>
      </c>
      <c r="D232" s="34">
        <v>9</v>
      </c>
      <c r="E232" s="34">
        <v>0</v>
      </c>
      <c r="F232" s="34">
        <v>2</v>
      </c>
      <c r="G232" s="171"/>
      <c r="H232" s="172" t="s">
        <v>205</v>
      </c>
      <c r="I232" s="171" t="s">
        <v>206</v>
      </c>
      <c r="J232" s="42">
        <v>0</v>
      </c>
      <c r="K232" s="42">
        <v>36066</v>
      </c>
      <c r="L232" s="42">
        <v>42098.7</v>
      </c>
      <c r="M232" s="63">
        <v>45742</v>
      </c>
      <c r="N232" s="63">
        <v>45742</v>
      </c>
      <c r="O232" s="93">
        <v>45742</v>
      </c>
      <c r="P232" s="93">
        <v>45742</v>
      </c>
      <c r="Q232" s="93">
        <v>45742</v>
      </c>
      <c r="R232" s="93">
        <v>45742</v>
      </c>
      <c r="S232" s="93">
        <v>45742</v>
      </c>
      <c r="T232" s="93">
        <v>45742</v>
      </c>
      <c r="U232" s="41">
        <v>45406</v>
      </c>
      <c r="V232" s="90">
        <v>2024</v>
      </c>
      <c r="W232" s="4">
        <f t="shared" si="60"/>
        <v>0</v>
      </c>
      <c r="X232" s="4">
        <f t="shared" si="61"/>
        <v>0</v>
      </c>
    </row>
    <row r="233" spans="1:24" ht="76.5">
      <c r="A233" s="33" t="s">
        <v>254</v>
      </c>
      <c r="B233" s="34">
        <v>1</v>
      </c>
      <c r="C233" s="34">
        <v>1</v>
      </c>
      <c r="D233" s="34">
        <v>9</v>
      </c>
      <c r="E233" s="34">
        <v>0</v>
      </c>
      <c r="F233" s="34">
        <v>2</v>
      </c>
      <c r="G233" s="35"/>
      <c r="H233" s="39" t="s">
        <v>146</v>
      </c>
      <c r="I233" s="35" t="s">
        <v>283</v>
      </c>
      <c r="J233" s="48">
        <v>0</v>
      </c>
      <c r="K233" s="48">
        <v>200</v>
      </c>
      <c r="L233" s="48">
        <v>200</v>
      </c>
      <c r="M233" s="97">
        <v>200</v>
      </c>
      <c r="N233" s="97">
        <v>200</v>
      </c>
      <c r="O233" s="70">
        <v>200</v>
      </c>
      <c r="P233" s="70">
        <v>200</v>
      </c>
      <c r="Q233" s="70">
        <v>200</v>
      </c>
      <c r="R233" s="70">
        <v>200</v>
      </c>
      <c r="S233" s="70">
        <v>200</v>
      </c>
      <c r="T233" s="70">
        <v>200</v>
      </c>
      <c r="U233" s="48">
        <f>J233+K233+L233+M233+O233+Q233+R233+S233+T233</f>
        <v>1600</v>
      </c>
      <c r="V233" s="90">
        <v>2024</v>
      </c>
      <c r="W233" s="4">
        <f t="shared" si="60"/>
        <v>0</v>
      </c>
      <c r="X233" s="4">
        <f t="shared" si="61"/>
        <v>0</v>
      </c>
    </row>
    <row r="234" spans="1:24" ht="63.75">
      <c r="A234" s="33" t="s">
        <v>254</v>
      </c>
      <c r="B234" s="34">
        <v>1</v>
      </c>
      <c r="C234" s="34">
        <v>1</v>
      </c>
      <c r="D234" s="34">
        <v>9</v>
      </c>
      <c r="E234" s="34">
        <v>0</v>
      </c>
      <c r="F234" s="34">
        <v>2</v>
      </c>
      <c r="G234" s="35"/>
      <c r="H234" s="39" t="s">
        <v>130</v>
      </c>
      <c r="I234" s="35" t="s">
        <v>283</v>
      </c>
      <c r="J234" s="48">
        <v>0</v>
      </c>
      <c r="K234" s="48">
        <v>0</v>
      </c>
      <c r="L234" s="48">
        <v>7</v>
      </c>
      <c r="M234" s="97">
        <v>9</v>
      </c>
      <c r="N234" s="97">
        <v>7</v>
      </c>
      <c r="O234" s="70">
        <v>9</v>
      </c>
      <c r="P234" s="70">
        <v>7</v>
      </c>
      <c r="Q234" s="70">
        <v>9</v>
      </c>
      <c r="R234" s="70">
        <v>9</v>
      </c>
      <c r="S234" s="70">
        <v>9</v>
      </c>
      <c r="T234" s="70">
        <v>9</v>
      </c>
      <c r="U234" s="48">
        <f>J234+K234+L234+M234+O234+Q234+S234+R234+T234</f>
        <v>61</v>
      </c>
      <c r="V234" s="90">
        <v>2024</v>
      </c>
      <c r="W234" s="4">
        <f t="shared" si="60"/>
        <v>2</v>
      </c>
      <c r="X234" s="4">
        <f t="shared" si="61"/>
        <v>2</v>
      </c>
    </row>
    <row r="235" spans="1:25" ht="38.25">
      <c r="A235" s="158" t="s">
        <v>254</v>
      </c>
      <c r="B235" s="89">
        <v>1</v>
      </c>
      <c r="C235" s="89">
        <v>2</v>
      </c>
      <c r="D235" s="89">
        <v>0</v>
      </c>
      <c r="E235" s="89">
        <v>0</v>
      </c>
      <c r="F235" s="89">
        <v>0</v>
      </c>
      <c r="G235" s="89"/>
      <c r="H235" s="159" t="s">
        <v>126</v>
      </c>
      <c r="I235" s="89" t="s">
        <v>255</v>
      </c>
      <c r="J235" s="75">
        <f>J236+J237+J238</f>
        <v>31048.7</v>
      </c>
      <c r="K235" s="75">
        <f aca="true" t="shared" si="69" ref="K235:Q235">K236+K237</f>
        <v>84146.3</v>
      </c>
      <c r="L235" s="75">
        <f t="shared" si="69"/>
        <v>158635.7</v>
      </c>
      <c r="M235" s="62">
        <f t="shared" si="69"/>
        <v>255566.6</v>
      </c>
      <c r="N235" s="62">
        <f t="shared" si="69"/>
        <v>79002.8</v>
      </c>
      <c r="O235" s="62">
        <f t="shared" si="69"/>
        <v>128832.3</v>
      </c>
      <c r="P235" s="62">
        <f t="shared" si="69"/>
        <v>133408.8</v>
      </c>
      <c r="Q235" s="62">
        <f t="shared" si="69"/>
        <v>100604.7</v>
      </c>
      <c r="R235" s="62">
        <f>R236+R237+R238</f>
        <v>109643</v>
      </c>
      <c r="S235" s="62">
        <f>S236+S237+S238</f>
        <v>109643</v>
      </c>
      <c r="T235" s="62">
        <f>T236+T237+T238</f>
        <v>109643</v>
      </c>
      <c r="U235" s="75">
        <f aca="true" t="shared" si="70" ref="U235:U241">J235+K235+L235+M235+O235+Q235+R235+S235+T235</f>
        <v>1087763.3</v>
      </c>
      <c r="V235" s="89">
        <v>2024</v>
      </c>
      <c r="W235" s="4">
        <f t="shared" si="60"/>
        <v>49829.5</v>
      </c>
      <c r="X235" s="4">
        <f t="shared" si="61"/>
        <v>-32804.1</v>
      </c>
      <c r="Y235" s="4"/>
    </row>
    <row r="236" spans="1:26" s="7" customFormat="1" ht="12.75">
      <c r="A236" s="33" t="s">
        <v>254</v>
      </c>
      <c r="B236" s="34">
        <v>1</v>
      </c>
      <c r="C236" s="34">
        <v>2</v>
      </c>
      <c r="D236" s="34">
        <v>0</v>
      </c>
      <c r="E236" s="34">
        <v>0</v>
      </c>
      <c r="F236" s="34">
        <v>0</v>
      </c>
      <c r="G236" s="34">
        <v>3</v>
      </c>
      <c r="H236" s="51" t="s">
        <v>256</v>
      </c>
      <c r="I236" s="34" t="s">
        <v>255</v>
      </c>
      <c r="J236" s="53">
        <f aca="true" t="shared" si="71" ref="J236:T236">J240+J258+J279</f>
        <v>23599</v>
      </c>
      <c r="K236" s="53">
        <f t="shared" si="71"/>
        <v>82096.2</v>
      </c>
      <c r="L236" s="53">
        <f t="shared" si="71"/>
        <v>155984.5</v>
      </c>
      <c r="M236" s="65">
        <f t="shared" si="71"/>
        <v>237219.9</v>
      </c>
      <c r="N236" s="65">
        <f>N240+N258+N279</f>
        <v>79002.8</v>
      </c>
      <c r="O236" s="65">
        <f t="shared" si="71"/>
        <v>128832.3</v>
      </c>
      <c r="P236" s="65">
        <f>P240+P258+P279</f>
        <v>133408.8</v>
      </c>
      <c r="Q236" s="65">
        <f>Q240+Q258+Q279</f>
        <v>100604.7</v>
      </c>
      <c r="R236" s="65">
        <f t="shared" si="71"/>
        <v>109643</v>
      </c>
      <c r="S236" s="65">
        <f t="shared" si="71"/>
        <v>109643</v>
      </c>
      <c r="T236" s="65">
        <f t="shared" si="71"/>
        <v>109643</v>
      </c>
      <c r="U236" s="53">
        <f t="shared" si="70"/>
        <v>1057265.6</v>
      </c>
      <c r="V236" s="88">
        <v>2024</v>
      </c>
      <c r="W236" s="4">
        <f t="shared" si="60"/>
        <v>49829.5</v>
      </c>
      <c r="X236" s="4">
        <f t="shared" si="61"/>
        <v>-32804.1</v>
      </c>
      <c r="Y236" s="4"/>
      <c r="Z236" s="3"/>
    </row>
    <row r="237" spans="1:26" s="7" customFormat="1" ht="12.75">
      <c r="A237" s="33" t="s">
        <v>254</v>
      </c>
      <c r="B237" s="34">
        <v>1</v>
      </c>
      <c r="C237" s="34">
        <v>2</v>
      </c>
      <c r="D237" s="34">
        <v>0</v>
      </c>
      <c r="E237" s="34">
        <v>0</v>
      </c>
      <c r="F237" s="34">
        <v>0</v>
      </c>
      <c r="G237" s="34">
        <v>2</v>
      </c>
      <c r="H237" s="51" t="s">
        <v>257</v>
      </c>
      <c r="I237" s="34" t="s">
        <v>255</v>
      </c>
      <c r="J237" s="53">
        <f aca="true" t="shared" si="72" ref="J237:T237">J241+J280</f>
        <v>5966.4</v>
      </c>
      <c r="K237" s="53">
        <f t="shared" si="72"/>
        <v>2050.1</v>
      </c>
      <c r="L237" s="53">
        <f t="shared" si="72"/>
        <v>2651.2</v>
      </c>
      <c r="M237" s="65">
        <f>M241+M280+M259</f>
        <v>18346.7</v>
      </c>
      <c r="N237" s="65">
        <f>N241+N280+N259</f>
        <v>0</v>
      </c>
      <c r="O237" s="65">
        <f>O241+O280</f>
        <v>0</v>
      </c>
      <c r="P237" s="65">
        <f>P241+P280</f>
        <v>0</v>
      </c>
      <c r="Q237" s="65">
        <f t="shared" si="72"/>
        <v>0</v>
      </c>
      <c r="R237" s="65">
        <f t="shared" si="72"/>
        <v>0</v>
      </c>
      <c r="S237" s="65">
        <f t="shared" si="72"/>
        <v>0</v>
      </c>
      <c r="T237" s="65">
        <f t="shared" si="72"/>
        <v>0</v>
      </c>
      <c r="U237" s="53">
        <f t="shared" si="70"/>
        <v>29014.4</v>
      </c>
      <c r="V237" s="34">
        <v>2019</v>
      </c>
      <c r="W237" s="4">
        <f t="shared" si="60"/>
        <v>0</v>
      </c>
      <c r="X237" s="4">
        <f t="shared" si="61"/>
        <v>0</v>
      </c>
      <c r="Y237" s="4"/>
      <c r="Z237" s="3"/>
    </row>
    <row r="238" spans="1:26" s="7" customFormat="1" ht="12.75">
      <c r="A238" s="33" t="s">
        <v>254</v>
      </c>
      <c r="B238" s="34">
        <v>1</v>
      </c>
      <c r="C238" s="34">
        <v>2</v>
      </c>
      <c r="D238" s="34">
        <v>0</v>
      </c>
      <c r="E238" s="34">
        <v>0</v>
      </c>
      <c r="F238" s="34">
        <v>0</v>
      </c>
      <c r="G238" s="34">
        <v>1</v>
      </c>
      <c r="H238" s="51" t="s">
        <v>258</v>
      </c>
      <c r="I238" s="34" t="s">
        <v>255</v>
      </c>
      <c r="J238" s="53">
        <f>J281</f>
        <v>1483.3</v>
      </c>
      <c r="K238" s="53">
        <v>0</v>
      </c>
      <c r="L238" s="53">
        <v>0</v>
      </c>
      <c r="M238" s="65">
        <v>0</v>
      </c>
      <c r="N238" s="65"/>
      <c r="O238" s="65">
        <v>0</v>
      </c>
      <c r="P238" s="65"/>
      <c r="Q238" s="65">
        <v>0</v>
      </c>
      <c r="R238" s="65">
        <f>R281</f>
        <v>0</v>
      </c>
      <c r="S238" s="65">
        <f>S281</f>
        <v>0</v>
      </c>
      <c r="T238" s="65">
        <f>T281</f>
        <v>0</v>
      </c>
      <c r="U238" s="53">
        <f t="shared" si="70"/>
        <v>1483.3</v>
      </c>
      <c r="V238" s="88">
        <v>2016</v>
      </c>
      <c r="W238" s="4">
        <f t="shared" si="60"/>
        <v>0</v>
      </c>
      <c r="X238" s="4">
        <f t="shared" si="61"/>
        <v>0</v>
      </c>
      <c r="Y238" s="4"/>
      <c r="Z238" s="3"/>
    </row>
    <row r="239" spans="1:26" s="7" customFormat="1" ht="51">
      <c r="A239" s="31" t="s">
        <v>254</v>
      </c>
      <c r="B239" s="32">
        <v>1</v>
      </c>
      <c r="C239" s="32">
        <v>2</v>
      </c>
      <c r="D239" s="32">
        <v>1</v>
      </c>
      <c r="E239" s="32">
        <v>0</v>
      </c>
      <c r="F239" s="32">
        <v>0</v>
      </c>
      <c r="G239" s="32"/>
      <c r="H239" s="30" t="s">
        <v>48</v>
      </c>
      <c r="I239" s="32" t="s">
        <v>255</v>
      </c>
      <c r="J239" s="68">
        <f aca="true" t="shared" si="73" ref="J239:T239">J240+J241</f>
        <v>0</v>
      </c>
      <c r="K239" s="68">
        <f t="shared" si="73"/>
        <v>490</v>
      </c>
      <c r="L239" s="68">
        <f t="shared" si="73"/>
        <v>14301</v>
      </c>
      <c r="M239" s="68">
        <f t="shared" si="73"/>
        <v>11757.6</v>
      </c>
      <c r="N239" s="68">
        <f>N240+N241</f>
        <v>8100</v>
      </c>
      <c r="O239" s="68">
        <f t="shared" si="73"/>
        <v>14467</v>
      </c>
      <c r="P239" s="68">
        <f>P240+P241</f>
        <v>10352</v>
      </c>
      <c r="Q239" s="68">
        <f t="shared" si="73"/>
        <v>13649</v>
      </c>
      <c r="R239" s="68">
        <f t="shared" si="73"/>
        <v>9757.8</v>
      </c>
      <c r="S239" s="68">
        <f t="shared" si="73"/>
        <v>0</v>
      </c>
      <c r="T239" s="68">
        <f t="shared" si="73"/>
        <v>0</v>
      </c>
      <c r="U239" s="68">
        <f t="shared" si="70"/>
        <v>64422.4</v>
      </c>
      <c r="V239" s="32">
        <v>2022</v>
      </c>
      <c r="W239" s="4">
        <f t="shared" si="60"/>
        <v>6367</v>
      </c>
      <c r="X239" s="4">
        <f t="shared" si="61"/>
        <v>3297</v>
      </c>
      <c r="Y239" s="4"/>
      <c r="Z239" s="3"/>
    </row>
    <row r="240" spans="1:26" s="7" customFormat="1" ht="12.75">
      <c r="A240" s="33" t="s">
        <v>254</v>
      </c>
      <c r="B240" s="34">
        <v>1</v>
      </c>
      <c r="C240" s="34">
        <v>2</v>
      </c>
      <c r="D240" s="34">
        <v>1</v>
      </c>
      <c r="E240" s="34">
        <v>0</v>
      </c>
      <c r="F240" s="34">
        <v>0</v>
      </c>
      <c r="G240" s="34">
        <v>3</v>
      </c>
      <c r="H240" s="51" t="s">
        <v>256</v>
      </c>
      <c r="I240" s="34" t="s">
        <v>255</v>
      </c>
      <c r="J240" s="52">
        <f aca="true" t="shared" si="74" ref="J240:T240">J247+J252</f>
        <v>0</v>
      </c>
      <c r="K240" s="52">
        <f t="shared" si="74"/>
        <v>490</v>
      </c>
      <c r="L240" s="52">
        <f t="shared" si="74"/>
        <v>13801</v>
      </c>
      <c r="M240" s="67">
        <f t="shared" si="74"/>
        <v>9257.6</v>
      </c>
      <c r="N240" s="67">
        <f>N247+N252</f>
        <v>8100</v>
      </c>
      <c r="O240" s="67">
        <f t="shared" si="74"/>
        <v>14467</v>
      </c>
      <c r="P240" s="67">
        <f>P247+P252</f>
        <v>10352</v>
      </c>
      <c r="Q240" s="67">
        <f>Q247+Q252</f>
        <v>13649</v>
      </c>
      <c r="R240" s="67">
        <f t="shared" si="74"/>
        <v>9757.8</v>
      </c>
      <c r="S240" s="67">
        <f t="shared" si="74"/>
        <v>0</v>
      </c>
      <c r="T240" s="67">
        <f t="shared" si="74"/>
        <v>0</v>
      </c>
      <c r="U240" s="52">
        <f t="shared" si="70"/>
        <v>61422.4</v>
      </c>
      <c r="V240" s="34">
        <v>2022</v>
      </c>
      <c r="W240" s="4">
        <f t="shared" si="60"/>
        <v>6367</v>
      </c>
      <c r="X240" s="4">
        <f t="shared" si="61"/>
        <v>3297</v>
      </c>
      <c r="Y240" s="4"/>
      <c r="Z240" s="3"/>
    </row>
    <row r="241" spans="1:26" s="7" customFormat="1" ht="12.75">
      <c r="A241" s="33" t="s">
        <v>254</v>
      </c>
      <c r="B241" s="34">
        <v>1</v>
      </c>
      <c r="C241" s="34">
        <v>2</v>
      </c>
      <c r="D241" s="34">
        <v>1</v>
      </c>
      <c r="E241" s="34">
        <v>0</v>
      </c>
      <c r="F241" s="34">
        <v>0</v>
      </c>
      <c r="G241" s="34">
        <v>2</v>
      </c>
      <c r="H241" s="51" t="s">
        <v>257</v>
      </c>
      <c r="I241" s="34" t="s">
        <v>255</v>
      </c>
      <c r="J241" s="52">
        <f aca="true" t="shared" si="75" ref="J241:P241">J248</f>
        <v>0</v>
      </c>
      <c r="K241" s="52">
        <f t="shared" si="75"/>
        <v>0</v>
      </c>
      <c r="L241" s="52">
        <f t="shared" si="75"/>
        <v>500</v>
      </c>
      <c r="M241" s="67">
        <f t="shared" si="75"/>
        <v>2500</v>
      </c>
      <c r="N241" s="67">
        <f t="shared" si="75"/>
        <v>0</v>
      </c>
      <c r="O241" s="67">
        <f t="shared" si="75"/>
        <v>0</v>
      </c>
      <c r="P241" s="67">
        <f t="shared" si="75"/>
        <v>0</v>
      </c>
      <c r="Q241" s="67">
        <v>0</v>
      </c>
      <c r="R241" s="67">
        <f>R248</f>
        <v>0</v>
      </c>
      <c r="S241" s="67">
        <f>S248</f>
        <v>0</v>
      </c>
      <c r="T241" s="67">
        <f>T248</f>
        <v>0</v>
      </c>
      <c r="U241" s="52">
        <f t="shared" si="70"/>
        <v>3000</v>
      </c>
      <c r="V241" s="34">
        <v>2018</v>
      </c>
      <c r="W241" s="4">
        <f t="shared" si="60"/>
        <v>0</v>
      </c>
      <c r="X241" s="4">
        <f t="shared" si="61"/>
        <v>0</v>
      </c>
      <c r="Y241" s="4"/>
      <c r="Z241" s="3"/>
    </row>
    <row r="242" spans="1:24" ht="51">
      <c r="A242" s="33" t="s">
        <v>254</v>
      </c>
      <c r="B242" s="34">
        <v>1</v>
      </c>
      <c r="C242" s="34">
        <v>2</v>
      </c>
      <c r="D242" s="34">
        <v>1</v>
      </c>
      <c r="E242" s="34">
        <v>0</v>
      </c>
      <c r="F242" s="34">
        <v>0</v>
      </c>
      <c r="G242" s="35"/>
      <c r="H242" s="39" t="s">
        <v>101</v>
      </c>
      <c r="I242" s="35" t="s">
        <v>260</v>
      </c>
      <c r="J242" s="99">
        <v>26.5</v>
      </c>
      <c r="K242" s="99">
        <v>31.3</v>
      </c>
      <c r="L242" s="99">
        <v>43.3</v>
      </c>
      <c r="M242" s="66">
        <v>60.9</v>
      </c>
      <c r="N242" s="66">
        <v>67.2</v>
      </c>
      <c r="O242" s="66">
        <v>67.2</v>
      </c>
      <c r="P242" s="66">
        <v>70.3</v>
      </c>
      <c r="Q242" s="66">
        <v>70.3</v>
      </c>
      <c r="R242" s="66">
        <v>71.9</v>
      </c>
      <c r="S242" s="66">
        <v>71.9</v>
      </c>
      <c r="T242" s="66">
        <v>71.9</v>
      </c>
      <c r="U242" s="99">
        <f>T242</f>
        <v>71.9</v>
      </c>
      <c r="V242" s="35">
        <v>2024</v>
      </c>
      <c r="W242" s="4">
        <f t="shared" si="60"/>
        <v>0</v>
      </c>
      <c r="X242" s="4">
        <f t="shared" si="61"/>
        <v>0</v>
      </c>
    </row>
    <row r="243" spans="1:24" ht="38.25">
      <c r="A243" s="33" t="s">
        <v>254</v>
      </c>
      <c r="B243" s="34">
        <v>1</v>
      </c>
      <c r="C243" s="34">
        <v>2</v>
      </c>
      <c r="D243" s="34">
        <v>1</v>
      </c>
      <c r="E243" s="34">
        <v>0</v>
      </c>
      <c r="F243" s="34">
        <v>0</v>
      </c>
      <c r="G243" s="35"/>
      <c r="H243" s="39" t="s">
        <v>326</v>
      </c>
      <c r="I243" s="35" t="s">
        <v>260</v>
      </c>
      <c r="J243" s="40">
        <v>65</v>
      </c>
      <c r="K243" s="40">
        <v>64.5</v>
      </c>
      <c r="L243" s="99">
        <v>64</v>
      </c>
      <c r="M243" s="41">
        <v>63.5</v>
      </c>
      <c r="N243" s="41">
        <v>63</v>
      </c>
      <c r="O243" s="41">
        <v>63</v>
      </c>
      <c r="P243" s="41">
        <v>62.5</v>
      </c>
      <c r="Q243" s="41">
        <v>62.5</v>
      </c>
      <c r="R243" s="41">
        <v>62</v>
      </c>
      <c r="S243" s="41">
        <v>61.6</v>
      </c>
      <c r="T243" s="41">
        <v>60.9</v>
      </c>
      <c r="U243" s="99">
        <f>T243</f>
        <v>60.9</v>
      </c>
      <c r="V243" s="35">
        <v>2024</v>
      </c>
      <c r="W243" s="4">
        <f t="shared" si="60"/>
        <v>0</v>
      </c>
      <c r="X243" s="4">
        <f t="shared" si="61"/>
        <v>0</v>
      </c>
    </row>
    <row r="244" spans="1:24" ht="51">
      <c r="A244" s="36" t="s">
        <v>254</v>
      </c>
      <c r="B244" s="37">
        <v>1</v>
      </c>
      <c r="C244" s="37">
        <v>2</v>
      </c>
      <c r="D244" s="37">
        <v>1</v>
      </c>
      <c r="E244" s="37">
        <v>0</v>
      </c>
      <c r="F244" s="37">
        <v>1</v>
      </c>
      <c r="G244" s="38"/>
      <c r="H244" s="43" t="s">
        <v>220</v>
      </c>
      <c r="I244" s="38" t="s">
        <v>279</v>
      </c>
      <c r="J244" s="44" t="s">
        <v>335</v>
      </c>
      <c r="K244" s="44" t="s">
        <v>280</v>
      </c>
      <c r="L244" s="44" t="s">
        <v>280</v>
      </c>
      <c r="M244" s="46" t="s">
        <v>280</v>
      </c>
      <c r="N244" s="46" t="s">
        <v>280</v>
      </c>
      <c r="O244" s="46" t="s">
        <v>280</v>
      </c>
      <c r="P244" s="46" t="s">
        <v>280</v>
      </c>
      <c r="Q244" s="46" t="s">
        <v>280</v>
      </c>
      <c r="R244" s="46" t="s">
        <v>280</v>
      </c>
      <c r="S244" s="46" t="s">
        <v>280</v>
      </c>
      <c r="T244" s="46" t="s">
        <v>280</v>
      </c>
      <c r="U244" s="44" t="s">
        <v>280</v>
      </c>
      <c r="V244" s="38">
        <v>2024</v>
      </c>
      <c r="W244" s="4"/>
      <c r="X244" s="4"/>
    </row>
    <row r="245" spans="1:24" ht="76.5">
      <c r="A245" s="33" t="s">
        <v>254</v>
      </c>
      <c r="B245" s="34">
        <v>1</v>
      </c>
      <c r="C245" s="34">
        <v>2</v>
      </c>
      <c r="D245" s="34">
        <v>1</v>
      </c>
      <c r="E245" s="34">
        <v>0</v>
      </c>
      <c r="F245" s="34">
        <v>1</v>
      </c>
      <c r="G245" s="35"/>
      <c r="H245" s="39" t="s">
        <v>89</v>
      </c>
      <c r="I245" s="35" t="s">
        <v>294</v>
      </c>
      <c r="J245" s="113">
        <v>0</v>
      </c>
      <c r="K245" s="113">
        <v>1</v>
      </c>
      <c r="L245" s="113">
        <v>1</v>
      </c>
      <c r="M245" s="69">
        <v>1</v>
      </c>
      <c r="N245" s="69">
        <v>1</v>
      </c>
      <c r="O245" s="69">
        <v>1</v>
      </c>
      <c r="P245" s="69">
        <v>1</v>
      </c>
      <c r="Q245" s="69">
        <v>1</v>
      </c>
      <c r="R245" s="69">
        <v>1</v>
      </c>
      <c r="S245" s="69">
        <v>1</v>
      </c>
      <c r="T245" s="69">
        <v>1</v>
      </c>
      <c r="U245" s="113">
        <f aca="true" t="shared" si="76" ref="U245:U259">J245+K245+L245+M245+O245+Q245+R245+S245+T245</f>
        <v>8</v>
      </c>
      <c r="V245" s="35">
        <v>2024</v>
      </c>
      <c r="W245" s="4">
        <f t="shared" si="60"/>
        <v>0</v>
      </c>
      <c r="X245" s="4">
        <f t="shared" si="61"/>
        <v>0</v>
      </c>
    </row>
    <row r="246" spans="1:26" s="7" customFormat="1" ht="25.5">
      <c r="A246" s="36" t="s">
        <v>254</v>
      </c>
      <c r="B246" s="37">
        <v>1</v>
      </c>
      <c r="C246" s="37">
        <v>2</v>
      </c>
      <c r="D246" s="37">
        <v>1</v>
      </c>
      <c r="E246" s="37">
        <v>0</v>
      </c>
      <c r="F246" s="37">
        <v>2</v>
      </c>
      <c r="G246" s="37"/>
      <c r="H246" s="49" t="s">
        <v>398</v>
      </c>
      <c r="I246" s="37" t="s">
        <v>255</v>
      </c>
      <c r="J246" s="45">
        <f>J247+J248</f>
        <v>0</v>
      </c>
      <c r="K246" s="45">
        <f>K247+K248</f>
        <v>0</v>
      </c>
      <c r="L246" s="45">
        <f>L247+L248</f>
        <v>5642.1</v>
      </c>
      <c r="M246" s="50">
        <f>M247+M248</f>
        <v>8168.8</v>
      </c>
      <c r="N246" s="50">
        <f>N247+N248</f>
        <v>7500</v>
      </c>
      <c r="O246" s="50">
        <f aca="true" t="shared" si="77" ref="O246:T246">O247</f>
        <v>10797</v>
      </c>
      <c r="P246" s="50">
        <f t="shared" si="77"/>
        <v>7500</v>
      </c>
      <c r="Q246" s="50">
        <f t="shared" si="77"/>
        <v>10797</v>
      </c>
      <c r="R246" s="50">
        <f t="shared" si="77"/>
        <v>9757.8</v>
      </c>
      <c r="S246" s="50">
        <f t="shared" si="77"/>
        <v>0</v>
      </c>
      <c r="T246" s="50">
        <f t="shared" si="77"/>
        <v>0</v>
      </c>
      <c r="U246" s="45">
        <f t="shared" si="76"/>
        <v>45162.7</v>
      </c>
      <c r="V246" s="37">
        <v>2022</v>
      </c>
      <c r="W246" s="4">
        <f t="shared" si="60"/>
        <v>3297</v>
      </c>
      <c r="X246" s="4">
        <f t="shared" si="61"/>
        <v>3297</v>
      </c>
      <c r="Y246" s="4"/>
      <c r="Z246" s="3"/>
    </row>
    <row r="247" spans="1:26" s="7" customFormat="1" ht="12.75">
      <c r="A247" s="33" t="s">
        <v>254</v>
      </c>
      <c r="B247" s="34">
        <v>1</v>
      </c>
      <c r="C247" s="34">
        <v>2</v>
      </c>
      <c r="D247" s="34">
        <v>1</v>
      </c>
      <c r="E247" s="34">
        <v>0</v>
      </c>
      <c r="F247" s="34">
        <v>2</v>
      </c>
      <c r="G247" s="34">
        <v>3</v>
      </c>
      <c r="H247" s="51" t="s">
        <v>256</v>
      </c>
      <c r="I247" s="34" t="s">
        <v>255</v>
      </c>
      <c r="J247" s="52">
        <v>0</v>
      </c>
      <c r="K247" s="52">
        <v>0</v>
      </c>
      <c r="L247" s="52">
        <v>5142.1</v>
      </c>
      <c r="M247" s="67">
        <v>5668.8</v>
      </c>
      <c r="N247" s="67">
        <v>7500</v>
      </c>
      <c r="O247" s="67">
        <v>10797</v>
      </c>
      <c r="P247" s="67">
        <v>7500</v>
      </c>
      <c r="Q247" s="67">
        <v>10797</v>
      </c>
      <c r="R247" s="67">
        <v>9757.8</v>
      </c>
      <c r="S247" s="67">
        <v>0</v>
      </c>
      <c r="T247" s="67">
        <v>0</v>
      </c>
      <c r="U247" s="52">
        <f t="shared" si="76"/>
        <v>42162.7</v>
      </c>
      <c r="V247" s="34">
        <v>2022</v>
      </c>
      <c r="W247" s="4">
        <f t="shared" si="60"/>
        <v>3297</v>
      </c>
      <c r="X247" s="4">
        <f>Q247-P247</f>
        <v>3297</v>
      </c>
      <c r="Y247" s="4"/>
      <c r="Z247" s="3"/>
    </row>
    <row r="248" spans="1:26" s="7" customFormat="1" ht="12.75">
      <c r="A248" s="33" t="s">
        <v>254</v>
      </c>
      <c r="B248" s="34">
        <v>1</v>
      </c>
      <c r="C248" s="34">
        <v>2</v>
      </c>
      <c r="D248" s="34">
        <v>1</v>
      </c>
      <c r="E248" s="34">
        <v>0</v>
      </c>
      <c r="F248" s="34">
        <v>2</v>
      </c>
      <c r="G248" s="34">
        <v>2</v>
      </c>
      <c r="H248" s="51" t="s">
        <v>257</v>
      </c>
      <c r="I248" s="34" t="s">
        <v>255</v>
      </c>
      <c r="J248" s="52">
        <v>0</v>
      </c>
      <c r="K248" s="52">
        <v>0</v>
      </c>
      <c r="L248" s="52">
        <v>500</v>
      </c>
      <c r="M248" s="67">
        <v>2500</v>
      </c>
      <c r="N248" s="67">
        <v>0</v>
      </c>
      <c r="O248" s="67">
        <v>0</v>
      </c>
      <c r="P248" s="67">
        <v>0</v>
      </c>
      <c r="Q248" s="67">
        <v>0</v>
      </c>
      <c r="R248" s="67"/>
      <c r="S248" s="67"/>
      <c r="T248" s="67"/>
      <c r="U248" s="52">
        <f t="shared" si="76"/>
        <v>3000</v>
      </c>
      <c r="V248" s="34">
        <v>2018</v>
      </c>
      <c r="W248" s="4">
        <f t="shared" si="60"/>
        <v>0</v>
      </c>
      <c r="X248" s="4">
        <f t="shared" si="61"/>
        <v>0</v>
      </c>
      <c r="Y248" s="4"/>
      <c r="Z248" s="3"/>
    </row>
    <row r="249" spans="1:24" ht="25.5">
      <c r="A249" s="33" t="s">
        <v>254</v>
      </c>
      <c r="B249" s="34">
        <v>1</v>
      </c>
      <c r="C249" s="34">
        <v>2</v>
      </c>
      <c r="D249" s="34">
        <v>1</v>
      </c>
      <c r="E249" s="34">
        <v>0</v>
      </c>
      <c r="F249" s="34">
        <v>2</v>
      </c>
      <c r="G249" s="35"/>
      <c r="H249" s="54" t="s">
        <v>327</v>
      </c>
      <c r="I249" s="35" t="s">
        <v>294</v>
      </c>
      <c r="J249" s="47">
        <v>0</v>
      </c>
      <c r="K249" s="47">
        <v>0</v>
      </c>
      <c r="L249" s="47">
        <v>1</v>
      </c>
      <c r="M249" s="70">
        <v>4</v>
      </c>
      <c r="N249" s="70">
        <v>1</v>
      </c>
      <c r="O249" s="70">
        <v>1</v>
      </c>
      <c r="P249" s="70">
        <v>1</v>
      </c>
      <c r="Q249" s="70">
        <v>1</v>
      </c>
      <c r="R249" s="70">
        <v>1</v>
      </c>
      <c r="S249" s="70">
        <v>0</v>
      </c>
      <c r="T249" s="70">
        <v>0</v>
      </c>
      <c r="U249" s="47">
        <f t="shared" si="76"/>
        <v>8</v>
      </c>
      <c r="V249" s="35">
        <v>2022</v>
      </c>
      <c r="W249" s="4">
        <f t="shared" si="60"/>
        <v>0</v>
      </c>
      <c r="X249" s="4">
        <f t="shared" si="61"/>
        <v>0</v>
      </c>
    </row>
    <row r="250" spans="1:24" ht="25.5">
      <c r="A250" s="33" t="s">
        <v>254</v>
      </c>
      <c r="B250" s="34">
        <v>1</v>
      </c>
      <c r="C250" s="34">
        <v>2</v>
      </c>
      <c r="D250" s="34">
        <v>1</v>
      </c>
      <c r="E250" s="34">
        <v>0</v>
      </c>
      <c r="F250" s="34">
        <v>2</v>
      </c>
      <c r="G250" s="35"/>
      <c r="H250" s="54" t="s">
        <v>328</v>
      </c>
      <c r="I250" s="35" t="s">
        <v>329</v>
      </c>
      <c r="J250" s="99">
        <v>0</v>
      </c>
      <c r="K250" s="99">
        <v>0</v>
      </c>
      <c r="L250" s="99">
        <v>1191.1</v>
      </c>
      <c r="M250" s="41">
        <v>1790</v>
      </c>
      <c r="N250" s="41">
        <v>1640</v>
      </c>
      <c r="O250" s="41">
        <v>1657</v>
      </c>
      <c r="P250" s="41">
        <v>1640</v>
      </c>
      <c r="Q250" s="41">
        <v>1640</v>
      </c>
      <c r="R250" s="41">
        <v>1640</v>
      </c>
      <c r="S250" s="41">
        <v>0</v>
      </c>
      <c r="T250" s="41">
        <v>0</v>
      </c>
      <c r="U250" s="40">
        <f t="shared" si="76"/>
        <v>7918.1</v>
      </c>
      <c r="V250" s="35">
        <v>2022</v>
      </c>
      <c r="W250" s="4">
        <f t="shared" si="60"/>
        <v>17</v>
      </c>
      <c r="X250" s="4">
        <f t="shared" si="61"/>
        <v>0</v>
      </c>
    </row>
    <row r="251" spans="1:26" s="7" customFormat="1" ht="63.75">
      <c r="A251" s="36" t="s">
        <v>254</v>
      </c>
      <c r="B251" s="37">
        <v>1</v>
      </c>
      <c r="C251" s="37">
        <v>2</v>
      </c>
      <c r="D251" s="37">
        <v>1</v>
      </c>
      <c r="E251" s="37">
        <v>0</v>
      </c>
      <c r="F251" s="37">
        <v>3</v>
      </c>
      <c r="G251" s="37"/>
      <c r="H251" s="49" t="s">
        <v>399</v>
      </c>
      <c r="I251" s="37" t="s">
        <v>255</v>
      </c>
      <c r="J251" s="45">
        <f aca="true" t="shared" si="78" ref="J251:T251">J252</f>
        <v>0</v>
      </c>
      <c r="K251" s="45">
        <f t="shared" si="78"/>
        <v>490</v>
      </c>
      <c r="L251" s="45">
        <f t="shared" si="78"/>
        <v>8658.9</v>
      </c>
      <c r="M251" s="50">
        <f t="shared" si="78"/>
        <v>3588.8</v>
      </c>
      <c r="N251" s="50">
        <f t="shared" si="78"/>
        <v>600</v>
      </c>
      <c r="O251" s="50">
        <f t="shared" si="78"/>
        <v>3670</v>
      </c>
      <c r="P251" s="50">
        <f t="shared" si="78"/>
        <v>2852</v>
      </c>
      <c r="Q251" s="50">
        <f t="shared" si="78"/>
        <v>2852</v>
      </c>
      <c r="R251" s="50">
        <f t="shared" si="78"/>
        <v>0</v>
      </c>
      <c r="S251" s="50">
        <f t="shared" si="78"/>
        <v>0</v>
      </c>
      <c r="T251" s="50">
        <f t="shared" si="78"/>
        <v>0</v>
      </c>
      <c r="U251" s="45">
        <f t="shared" si="76"/>
        <v>19259.7</v>
      </c>
      <c r="V251" s="37">
        <v>2021</v>
      </c>
      <c r="W251" s="4">
        <f t="shared" si="60"/>
        <v>3070</v>
      </c>
      <c r="X251" s="4">
        <f t="shared" si="61"/>
        <v>0</v>
      </c>
      <c r="Y251" s="4"/>
      <c r="Z251" s="3"/>
    </row>
    <row r="252" spans="1:26" s="7" customFormat="1" ht="12.75">
      <c r="A252" s="33" t="s">
        <v>254</v>
      </c>
      <c r="B252" s="34">
        <v>1</v>
      </c>
      <c r="C252" s="34">
        <v>2</v>
      </c>
      <c r="D252" s="34">
        <v>1</v>
      </c>
      <c r="E252" s="34">
        <v>0</v>
      </c>
      <c r="F252" s="34">
        <v>3</v>
      </c>
      <c r="G252" s="34">
        <v>3</v>
      </c>
      <c r="H252" s="51" t="s">
        <v>256</v>
      </c>
      <c r="I252" s="34" t="s">
        <v>255</v>
      </c>
      <c r="J252" s="52">
        <v>0</v>
      </c>
      <c r="K252" s="52">
        <v>490</v>
      </c>
      <c r="L252" s="52">
        <v>8658.9</v>
      </c>
      <c r="M252" s="67">
        <v>3588.8</v>
      </c>
      <c r="N252" s="67">
        <v>600</v>
      </c>
      <c r="O252" s="67">
        <v>3670</v>
      </c>
      <c r="P252" s="67">
        <v>2852</v>
      </c>
      <c r="Q252" s="67">
        <v>2852</v>
      </c>
      <c r="R252" s="67">
        <v>0</v>
      </c>
      <c r="S252" s="67">
        <v>0</v>
      </c>
      <c r="T252" s="67">
        <v>0</v>
      </c>
      <c r="U252" s="52">
        <f t="shared" si="76"/>
        <v>19259.7</v>
      </c>
      <c r="V252" s="34">
        <v>2021</v>
      </c>
      <c r="W252" s="4">
        <f t="shared" si="60"/>
        <v>3070</v>
      </c>
      <c r="X252" s="4">
        <f t="shared" si="61"/>
        <v>0</v>
      </c>
      <c r="Y252" s="4"/>
      <c r="Z252" s="3"/>
    </row>
    <row r="253" spans="1:24" ht="25.5">
      <c r="A253" s="33" t="s">
        <v>254</v>
      </c>
      <c r="B253" s="34">
        <v>1</v>
      </c>
      <c r="C253" s="34">
        <v>2</v>
      </c>
      <c r="D253" s="34">
        <v>1</v>
      </c>
      <c r="E253" s="34">
        <v>0</v>
      </c>
      <c r="F253" s="34">
        <v>3</v>
      </c>
      <c r="G253" s="35"/>
      <c r="H253" s="54" t="s">
        <v>330</v>
      </c>
      <c r="I253" s="35" t="s">
        <v>294</v>
      </c>
      <c r="J253" s="47">
        <v>0</v>
      </c>
      <c r="K253" s="47">
        <v>2</v>
      </c>
      <c r="L253" s="47">
        <f>1+38</f>
        <v>39</v>
      </c>
      <c r="M253" s="70">
        <v>18</v>
      </c>
      <c r="N253" s="70">
        <v>1</v>
      </c>
      <c r="O253" s="70">
        <v>14</v>
      </c>
      <c r="P253" s="70">
        <v>13</v>
      </c>
      <c r="Q253" s="70">
        <v>8</v>
      </c>
      <c r="R253" s="70">
        <v>0</v>
      </c>
      <c r="S253" s="70">
        <v>0</v>
      </c>
      <c r="T253" s="70">
        <v>0</v>
      </c>
      <c r="U253" s="47">
        <f t="shared" si="76"/>
        <v>81</v>
      </c>
      <c r="V253" s="35">
        <v>2021</v>
      </c>
      <c r="W253" s="4">
        <f t="shared" si="60"/>
        <v>13</v>
      </c>
      <c r="X253" s="4">
        <f t="shared" si="61"/>
        <v>-5</v>
      </c>
    </row>
    <row r="254" spans="1:24" ht="25.5">
      <c r="A254" s="33" t="s">
        <v>254</v>
      </c>
      <c r="B254" s="34">
        <v>1</v>
      </c>
      <c r="C254" s="34">
        <v>2</v>
      </c>
      <c r="D254" s="34">
        <v>1</v>
      </c>
      <c r="E254" s="34">
        <v>0</v>
      </c>
      <c r="F254" s="34">
        <v>3</v>
      </c>
      <c r="G254" s="35"/>
      <c r="H254" s="54" t="s">
        <v>331</v>
      </c>
      <c r="I254" s="35" t="s">
        <v>329</v>
      </c>
      <c r="J254" s="99">
        <v>0</v>
      </c>
      <c r="K254" s="99">
        <f>22.5*2</f>
        <v>45</v>
      </c>
      <c r="L254" s="99">
        <f>22.5*39</f>
        <v>877.5</v>
      </c>
      <c r="M254" s="66">
        <v>423.1</v>
      </c>
      <c r="N254" s="66">
        <v>22.5</v>
      </c>
      <c r="O254" s="66">
        <v>315.6</v>
      </c>
      <c r="P254" s="66">
        <v>293</v>
      </c>
      <c r="Q254" s="66">
        <v>180</v>
      </c>
      <c r="R254" s="66">
        <v>0</v>
      </c>
      <c r="S254" s="66">
        <v>0</v>
      </c>
      <c r="T254" s="66">
        <v>0</v>
      </c>
      <c r="U254" s="40">
        <f t="shared" si="76"/>
        <v>1841.2</v>
      </c>
      <c r="V254" s="35">
        <v>2021</v>
      </c>
      <c r="W254" s="4">
        <f t="shared" si="60"/>
        <v>293.1</v>
      </c>
      <c r="X254" s="4">
        <f t="shared" si="61"/>
        <v>-113</v>
      </c>
    </row>
    <row r="255" spans="1:24" ht="25.5">
      <c r="A255" s="33" t="s">
        <v>254</v>
      </c>
      <c r="B255" s="34">
        <v>1</v>
      </c>
      <c r="C255" s="34">
        <v>2</v>
      </c>
      <c r="D255" s="34">
        <v>1</v>
      </c>
      <c r="E255" s="34">
        <v>0</v>
      </c>
      <c r="F255" s="34">
        <v>3</v>
      </c>
      <c r="G255" s="35"/>
      <c r="H255" s="54" t="s">
        <v>214</v>
      </c>
      <c r="I255" s="35" t="s">
        <v>294</v>
      </c>
      <c r="J255" s="47">
        <v>0</v>
      </c>
      <c r="K255" s="47">
        <v>0</v>
      </c>
      <c r="L255" s="47">
        <v>0</v>
      </c>
      <c r="M255" s="70">
        <v>0</v>
      </c>
      <c r="N255" s="70">
        <v>1</v>
      </c>
      <c r="O255" s="70">
        <v>0</v>
      </c>
      <c r="P255" s="70">
        <v>1</v>
      </c>
      <c r="Q255" s="70">
        <v>0</v>
      </c>
      <c r="R255" s="70">
        <v>0</v>
      </c>
      <c r="S255" s="70">
        <v>0</v>
      </c>
      <c r="T255" s="70">
        <v>0</v>
      </c>
      <c r="U255" s="47">
        <f t="shared" si="76"/>
        <v>0</v>
      </c>
      <c r="V255" s="35">
        <v>2021</v>
      </c>
      <c r="W255" s="4">
        <f t="shared" si="60"/>
        <v>-1</v>
      </c>
      <c r="X255" s="4">
        <f t="shared" si="61"/>
        <v>-1</v>
      </c>
    </row>
    <row r="256" spans="1:24" ht="25.5">
      <c r="A256" s="33" t="s">
        <v>254</v>
      </c>
      <c r="B256" s="34">
        <v>1</v>
      </c>
      <c r="C256" s="34">
        <v>2</v>
      </c>
      <c r="D256" s="34">
        <v>1</v>
      </c>
      <c r="E256" s="34">
        <v>0</v>
      </c>
      <c r="F256" s="34">
        <v>3</v>
      </c>
      <c r="G256" s="35"/>
      <c r="H256" s="54" t="s">
        <v>32</v>
      </c>
      <c r="I256" s="35" t="s">
        <v>294</v>
      </c>
      <c r="J256" s="47">
        <v>0</v>
      </c>
      <c r="K256" s="47">
        <v>0</v>
      </c>
      <c r="L256" s="47">
        <v>2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47">
        <f t="shared" si="76"/>
        <v>2</v>
      </c>
      <c r="V256" s="35">
        <v>2024</v>
      </c>
      <c r="W256" s="4">
        <f t="shared" si="60"/>
        <v>0</v>
      </c>
      <c r="X256" s="4">
        <f t="shared" si="61"/>
        <v>0</v>
      </c>
    </row>
    <row r="257" spans="1:26" s="7" customFormat="1" ht="38.25">
      <c r="A257" s="31" t="s">
        <v>254</v>
      </c>
      <c r="B257" s="32">
        <v>1</v>
      </c>
      <c r="C257" s="32">
        <v>2</v>
      </c>
      <c r="D257" s="32">
        <v>2</v>
      </c>
      <c r="E257" s="32">
        <v>0</v>
      </c>
      <c r="F257" s="32">
        <v>0</v>
      </c>
      <c r="G257" s="32"/>
      <c r="H257" s="30" t="s">
        <v>332</v>
      </c>
      <c r="I257" s="32" t="s">
        <v>255</v>
      </c>
      <c r="J257" s="68">
        <f aca="true" t="shared" si="79" ref="J257:T257">J258</f>
        <v>286.4</v>
      </c>
      <c r="K257" s="68">
        <f t="shared" si="79"/>
        <v>7296.9</v>
      </c>
      <c r="L257" s="68">
        <f t="shared" si="79"/>
        <v>5424.9</v>
      </c>
      <c r="M257" s="68">
        <f>M258+M259</f>
        <v>78748.2</v>
      </c>
      <c r="N257" s="68">
        <f>N258+N259</f>
        <v>170.5</v>
      </c>
      <c r="O257" s="68">
        <f t="shared" si="79"/>
        <v>3579.9</v>
      </c>
      <c r="P257" s="68">
        <f t="shared" si="79"/>
        <v>93232.8</v>
      </c>
      <c r="Q257" s="68">
        <f t="shared" si="79"/>
        <v>0</v>
      </c>
      <c r="R257" s="68">
        <f t="shared" si="79"/>
        <v>0</v>
      </c>
      <c r="S257" s="68">
        <f>S258</f>
        <v>96683</v>
      </c>
      <c r="T257" s="68">
        <f t="shared" si="79"/>
        <v>99383</v>
      </c>
      <c r="U257" s="68">
        <f>J257+K257+L257+M257+O257+Q257+R257+S257+T257</f>
        <v>291402.3</v>
      </c>
      <c r="V257" s="32">
        <v>2020</v>
      </c>
      <c r="W257" s="4">
        <f t="shared" si="60"/>
        <v>3409.4</v>
      </c>
      <c r="X257" s="4">
        <f t="shared" si="61"/>
        <v>-93232.8</v>
      </c>
      <c r="Y257" s="4"/>
      <c r="Z257" s="3"/>
    </row>
    <row r="258" spans="1:26" s="7" customFormat="1" ht="12.75">
      <c r="A258" s="33" t="s">
        <v>254</v>
      </c>
      <c r="B258" s="34">
        <v>1</v>
      </c>
      <c r="C258" s="34">
        <v>2</v>
      </c>
      <c r="D258" s="34">
        <v>2</v>
      </c>
      <c r="E258" s="34">
        <v>0</v>
      </c>
      <c r="F258" s="34">
        <v>0</v>
      </c>
      <c r="G258" s="34">
        <v>3</v>
      </c>
      <c r="H258" s="51" t="s">
        <v>256</v>
      </c>
      <c r="I258" s="34" t="s">
        <v>255</v>
      </c>
      <c r="J258" s="52">
        <f aca="true" t="shared" si="80" ref="J258:R258">J268+J272</f>
        <v>286.4</v>
      </c>
      <c r="K258" s="52">
        <f t="shared" si="80"/>
        <v>7296.9</v>
      </c>
      <c r="L258" s="52">
        <f t="shared" si="80"/>
        <v>5424.9</v>
      </c>
      <c r="M258" s="67">
        <f t="shared" si="80"/>
        <v>72373</v>
      </c>
      <c r="N258" s="67">
        <f>N268+N272</f>
        <v>170.5</v>
      </c>
      <c r="O258" s="67">
        <f t="shared" si="80"/>
        <v>3579.9</v>
      </c>
      <c r="P258" s="67">
        <f>P268+P272</f>
        <v>93232.8</v>
      </c>
      <c r="Q258" s="67">
        <f t="shared" si="80"/>
        <v>0</v>
      </c>
      <c r="R258" s="41">
        <f t="shared" si="80"/>
        <v>0</v>
      </c>
      <c r="S258" s="41">
        <f>S268+S272+S276</f>
        <v>96683</v>
      </c>
      <c r="T258" s="41">
        <f>T268+T272+T276</f>
        <v>99383</v>
      </c>
      <c r="U258" s="52">
        <f t="shared" si="76"/>
        <v>285027.1</v>
      </c>
      <c r="V258" s="34">
        <v>2020</v>
      </c>
      <c r="W258" s="4">
        <f t="shared" si="60"/>
        <v>3409.4</v>
      </c>
      <c r="X258" s="4">
        <f t="shared" si="61"/>
        <v>-93232.8</v>
      </c>
      <c r="Y258" s="4"/>
      <c r="Z258" s="3"/>
    </row>
    <row r="259" spans="1:26" s="7" customFormat="1" ht="12.75">
      <c r="A259" s="33" t="s">
        <v>254</v>
      </c>
      <c r="B259" s="34">
        <v>1</v>
      </c>
      <c r="C259" s="34">
        <v>2</v>
      </c>
      <c r="D259" s="34">
        <v>2</v>
      </c>
      <c r="E259" s="34">
        <v>0</v>
      </c>
      <c r="F259" s="34">
        <v>0</v>
      </c>
      <c r="G259" s="34"/>
      <c r="H259" s="51" t="s">
        <v>257</v>
      </c>
      <c r="I259" s="34" t="s">
        <v>255</v>
      </c>
      <c r="J259" s="52"/>
      <c r="K259" s="52"/>
      <c r="L259" s="52"/>
      <c r="M259" s="67">
        <f>M273</f>
        <v>6375.2</v>
      </c>
      <c r="N259" s="67">
        <f>N273</f>
        <v>0</v>
      </c>
      <c r="O259" s="67"/>
      <c r="P259" s="67"/>
      <c r="Q259" s="67"/>
      <c r="R259" s="41"/>
      <c r="S259" s="41"/>
      <c r="T259" s="41"/>
      <c r="U259" s="52">
        <f t="shared" si="76"/>
        <v>6375.2</v>
      </c>
      <c r="V259" s="34">
        <v>2019</v>
      </c>
      <c r="W259" s="4">
        <f t="shared" si="60"/>
        <v>0</v>
      </c>
      <c r="X259" s="4">
        <f t="shared" si="61"/>
        <v>0</v>
      </c>
      <c r="Y259" s="4"/>
      <c r="Z259" s="3"/>
    </row>
    <row r="260" spans="1:24" ht="38.25">
      <c r="A260" s="33" t="s">
        <v>254</v>
      </c>
      <c r="B260" s="34">
        <v>1</v>
      </c>
      <c r="C260" s="34">
        <v>2</v>
      </c>
      <c r="D260" s="34">
        <v>2</v>
      </c>
      <c r="E260" s="34">
        <v>0</v>
      </c>
      <c r="F260" s="34">
        <v>0</v>
      </c>
      <c r="G260" s="35"/>
      <c r="H260" s="39" t="s">
        <v>333</v>
      </c>
      <c r="I260" s="35" t="s">
        <v>260</v>
      </c>
      <c r="J260" s="40">
        <v>3.5</v>
      </c>
      <c r="K260" s="40">
        <v>3.5</v>
      </c>
      <c r="L260" s="99">
        <v>3.5</v>
      </c>
      <c r="M260" s="41">
        <v>2.8</v>
      </c>
      <c r="N260" s="41">
        <v>3.2</v>
      </c>
      <c r="O260" s="41">
        <v>3.2</v>
      </c>
      <c r="P260" s="41">
        <v>9.3</v>
      </c>
      <c r="Q260" s="41">
        <v>3.3</v>
      </c>
      <c r="R260" s="41">
        <v>3.4</v>
      </c>
      <c r="S260" s="41">
        <v>12.8</v>
      </c>
      <c r="T260" s="41">
        <v>22.9</v>
      </c>
      <c r="U260" s="99">
        <f>T260</f>
        <v>22.9</v>
      </c>
      <c r="V260" s="35">
        <v>2024</v>
      </c>
      <c r="W260" s="4">
        <f t="shared" si="60"/>
        <v>0</v>
      </c>
      <c r="X260" s="4">
        <f t="shared" si="61"/>
        <v>-6</v>
      </c>
    </row>
    <row r="261" spans="1:24" ht="63.75">
      <c r="A261" s="33" t="s">
        <v>254</v>
      </c>
      <c r="B261" s="34">
        <v>1</v>
      </c>
      <c r="C261" s="34">
        <v>2</v>
      </c>
      <c r="D261" s="34">
        <v>2</v>
      </c>
      <c r="E261" s="34">
        <v>0</v>
      </c>
      <c r="F261" s="34">
        <v>0</v>
      </c>
      <c r="G261" s="116"/>
      <c r="H261" s="177" t="s">
        <v>334</v>
      </c>
      <c r="I261" s="116" t="s">
        <v>260</v>
      </c>
      <c r="J261" s="114">
        <v>2.9</v>
      </c>
      <c r="K261" s="114">
        <v>10.4</v>
      </c>
      <c r="L261" s="99">
        <v>7.5</v>
      </c>
      <c r="M261" s="115">
        <v>32.8</v>
      </c>
      <c r="N261" s="115">
        <v>32.8</v>
      </c>
      <c r="O261" s="115">
        <v>35.9</v>
      </c>
      <c r="P261" s="115">
        <v>32.8</v>
      </c>
      <c r="Q261" s="115">
        <v>35.9</v>
      </c>
      <c r="R261" s="115">
        <v>35.9</v>
      </c>
      <c r="S261" s="115">
        <v>35.9</v>
      </c>
      <c r="T261" s="115">
        <v>35.9</v>
      </c>
      <c r="U261" s="99">
        <f>T261</f>
        <v>35.9</v>
      </c>
      <c r="V261" s="116">
        <v>2024</v>
      </c>
      <c r="W261" s="4">
        <f t="shared" si="60"/>
        <v>3.1</v>
      </c>
      <c r="X261" s="4">
        <f t="shared" si="61"/>
        <v>3.1</v>
      </c>
    </row>
    <row r="262" spans="1:24" ht="51">
      <c r="A262" s="33" t="s">
        <v>254</v>
      </c>
      <c r="B262" s="34">
        <v>1</v>
      </c>
      <c r="C262" s="34">
        <v>2</v>
      </c>
      <c r="D262" s="34">
        <v>2</v>
      </c>
      <c r="E262" s="34">
        <v>0</v>
      </c>
      <c r="F262" s="34">
        <v>0</v>
      </c>
      <c r="G262" s="116"/>
      <c r="H262" s="177" t="s">
        <v>238</v>
      </c>
      <c r="I262" s="116" t="s">
        <v>260</v>
      </c>
      <c r="J262" s="114">
        <v>0</v>
      </c>
      <c r="K262" s="114">
        <v>0</v>
      </c>
      <c r="L262" s="99">
        <v>0</v>
      </c>
      <c r="M262" s="115">
        <v>0</v>
      </c>
      <c r="N262" s="115">
        <v>0</v>
      </c>
      <c r="O262" s="115">
        <v>0</v>
      </c>
      <c r="P262" s="115">
        <v>0</v>
      </c>
      <c r="Q262" s="115">
        <v>0</v>
      </c>
      <c r="R262" s="115">
        <v>0</v>
      </c>
      <c r="S262" s="115">
        <v>1.6</v>
      </c>
      <c r="T262" s="115">
        <v>1.6</v>
      </c>
      <c r="U262" s="99">
        <f>T262</f>
        <v>1.6</v>
      </c>
      <c r="V262" s="116">
        <v>2024</v>
      </c>
      <c r="W262" s="4">
        <f t="shared" si="60"/>
        <v>0</v>
      </c>
      <c r="X262" s="4">
        <f t="shared" si="61"/>
        <v>0</v>
      </c>
    </row>
    <row r="263" spans="1:24" ht="102">
      <c r="A263" s="36" t="s">
        <v>254</v>
      </c>
      <c r="B263" s="37">
        <v>1</v>
      </c>
      <c r="C263" s="37">
        <v>2</v>
      </c>
      <c r="D263" s="37">
        <v>2</v>
      </c>
      <c r="E263" s="37">
        <v>0</v>
      </c>
      <c r="F263" s="37">
        <v>1</v>
      </c>
      <c r="G263" s="38"/>
      <c r="H263" s="43" t="s">
        <v>90</v>
      </c>
      <c r="I263" s="38" t="s">
        <v>279</v>
      </c>
      <c r="J263" s="44" t="s">
        <v>280</v>
      </c>
      <c r="K263" s="44" t="s">
        <v>280</v>
      </c>
      <c r="L263" s="44" t="s">
        <v>280</v>
      </c>
      <c r="M263" s="46" t="s">
        <v>280</v>
      </c>
      <c r="N263" s="46" t="s">
        <v>280</v>
      </c>
      <c r="O263" s="46" t="s">
        <v>280</v>
      </c>
      <c r="P263" s="46" t="s">
        <v>280</v>
      </c>
      <c r="Q263" s="46" t="s">
        <v>280</v>
      </c>
      <c r="R263" s="46" t="s">
        <v>280</v>
      </c>
      <c r="S263" s="46" t="s">
        <v>280</v>
      </c>
      <c r="T263" s="46" t="s">
        <v>280</v>
      </c>
      <c r="U263" s="44" t="s">
        <v>280</v>
      </c>
      <c r="V263" s="38">
        <v>2024</v>
      </c>
      <c r="W263" s="4"/>
      <c r="X263" s="4"/>
    </row>
    <row r="264" spans="1:24" ht="63.75">
      <c r="A264" s="33" t="s">
        <v>254</v>
      </c>
      <c r="B264" s="34">
        <v>1</v>
      </c>
      <c r="C264" s="34">
        <v>2</v>
      </c>
      <c r="D264" s="34">
        <v>2</v>
      </c>
      <c r="E264" s="34">
        <v>0</v>
      </c>
      <c r="F264" s="34">
        <v>1</v>
      </c>
      <c r="G264" s="35"/>
      <c r="H264" s="54" t="s">
        <v>336</v>
      </c>
      <c r="I264" s="35" t="s">
        <v>294</v>
      </c>
      <c r="J264" s="47">
        <v>0</v>
      </c>
      <c r="K264" s="47">
        <v>1</v>
      </c>
      <c r="L264" s="47">
        <v>0</v>
      </c>
      <c r="M264" s="70">
        <v>0</v>
      </c>
      <c r="N264" s="70">
        <v>0</v>
      </c>
      <c r="O264" s="70">
        <v>0</v>
      </c>
      <c r="P264" s="70">
        <v>1</v>
      </c>
      <c r="Q264" s="70">
        <v>1</v>
      </c>
      <c r="R264" s="70">
        <v>0</v>
      </c>
      <c r="S264" s="70">
        <v>0</v>
      </c>
      <c r="T264" s="70">
        <v>0</v>
      </c>
      <c r="U264" s="113">
        <f aca="true" t="shared" si="81" ref="U264:U272">J264+K264+L264+M264+O264+Q264+R264+S264+T264</f>
        <v>2</v>
      </c>
      <c r="V264" s="35">
        <v>2021</v>
      </c>
      <c r="W264" s="4">
        <f t="shared" si="60"/>
        <v>0</v>
      </c>
      <c r="X264" s="4">
        <f t="shared" si="61"/>
        <v>0</v>
      </c>
    </row>
    <row r="265" spans="1:24" ht="76.5">
      <c r="A265" s="33" t="s">
        <v>254</v>
      </c>
      <c r="B265" s="34">
        <v>1</v>
      </c>
      <c r="C265" s="34">
        <v>2</v>
      </c>
      <c r="D265" s="34">
        <v>2</v>
      </c>
      <c r="E265" s="34">
        <v>0</v>
      </c>
      <c r="F265" s="34">
        <v>1</v>
      </c>
      <c r="G265" s="116"/>
      <c r="H265" s="178" t="s">
        <v>79</v>
      </c>
      <c r="I265" s="116" t="s">
        <v>294</v>
      </c>
      <c r="J265" s="113">
        <v>1</v>
      </c>
      <c r="K265" s="113">
        <v>1</v>
      </c>
      <c r="L265" s="113">
        <v>1</v>
      </c>
      <c r="M265" s="69">
        <v>1</v>
      </c>
      <c r="N265" s="69">
        <v>1</v>
      </c>
      <c r="O265" s="69">
        <v>1</v>
      </c>
      <c r="P265" s="69">
        <v>1</v>
      </c>
      <c r="Q265" s="69">
        <v>1</v>
      </c>
      <c r="R265" s="69">
        <v>1</v>
      </c>
      <c r="S265" s="69">
        <v>1</v>
      </c>
      <c r="T265" s="69">
        <v>1</v>
      </c>
      <c r="U265" s="113">
        <f t="shared" si="81"/>
        <v>9</v>
      </c>
      <c r="V265" s="116">
        <v>2024</v>
      </c>
      <c r="W265" s="4">
        <f aca="true" t="shared" si="82" ref="W265:W328">O265-N265</f>
        <v>0</v>
      </c>
      <c r="X265" s="4">
        <f aca="true" t="shared" si="83" ref="X265:X328">Q265-P265</f>
        <v>0</v>
      </c>
    </row>
    <row r="266" spans="1:24" ht="76.5">
      <c r="A266" s="33" t="s">
        <v>254</v>
      </c>
      <c r="B266" s="34">
        <v>1</v>
      </c>
      <c r="C266" s="34">
        <v>2</v>
      </c>
      <c r="D266" s="34">
        <v>2</v>
      </c>
      <c r="E266" s="34">
        <v>0</v>
      </c>
      <c r="F266" s="34">
        <v>1</v>
      </c>
      <c r="G266" s="116"/>
      <c r="H266" s="178" t="s">
        <v>239</v>
      </c>
      <c r="I266" s="116" t="s">
        <v>294</v>
      </c>
      <c r="J266" s="113">
        <v>0</v>
      </c>
      <c r="K266" s="113">
        <v>0</v>
      </c>
      <c r="L266" s="113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1</v>
      </c>
      <c r="T266" s="69">
        <v>1</v>
      </c>
      <c r="U266" s="113">
        <f t="shared" si="81"/>
        <v>2</v>
      </c>
      <c r="V266" s="116">
        <v>2024</v>
      </c>
      <c r="W266" s="4">
        <f t="shared" si="82"/>
        <v>0</v>
      </c>
      <c r="X266" s="4">
        <f t="shared" si="83"/>
        <v>0</v>
      </c>
    </row>
    <row r="267" spans="1:26" s="7" customFormat="1" ht="76.5">
      <c r="A267" s="36" t="s">
        <v>254</v>
      </c>
      <c r="B267" s="37">
        <v>1</v>
      </c>
      <c r="C267" s="37">
        <v>2</v>
      </c>
      <c r="D267" s="37">
        <v>2</v>
      </c>
      <c r="E267" s="37">
        <v>0</v>
      </c>
      <c r="F267" s="37">
        <v>2</v>
      </c>
      <c r="G267" s="37"/>
      <c r="H267" s="49" t="s">
        <v>400</v>
      </c>
      <c r="I267" s="37" t="s">
        <v>255</v>
      </c>
      <c r="J267" s="45">
        <f aca="true" t="shared" si="84" ref="J267:T267">J268</f>
        <v>286.4</v>
      </c>
      <c r="K267" s="45">
        <f t="shared" si="84"/>
        <v>781.4</v>
      </c>
      <c r="L267" s="45">
        <f t="shared" si="84"/>
        <v>2603.5</v>
      </c>
      <c r="M267" s="50">
        <f t="shared" si="84"/>
        <v>5755.8</v>
      </c>
      <c r="N267" s="50">
        <f t="shared" si="84"/>
        <v>170.5</v>
      </c>
      <c r="O267" s="50">
        <f t="shared" si="84"/>
        <v>3579.9</v>
      </c>
      <c r="P267" s="50">
        <f t="shared" si="84"/>
        <v>900</v>
      </c>
      <c r="Q267" s="50">
        <f t="shared" si="84"/>
        <v>0</v>
      </c>
      <c r="R267" s="50">
        <f t="shared" si="84"/>
        <v>0</v>
      </c>
      <c r="S267" s="50">
        <f t="shared" si="84"/>
        <v>0</v>
      </c>
      <c r="T267" s="50">
        <f t="shared" si="84"/>
        <v>0</v>
      </c>
      <c r="U267" s="45">
        <f t="shared" si="81"/>
        <v>13007</v>
      </c>
      <c r="V267" s="37">
        <v>2020</v>
      </c>
      <c r="W267" s="4">
        <f t="shared" si="82"/>
        <v>3409.4</v>
      </c>
      <c r="X267" s="4">
        <f t="shared" si="83"/>
        <v>-900</v>
      </c>
      <c r="Y267" s="4"/>
      <c r="Z267" s="3"/>
    </row>
    <row r="268" spans="1:26" s="7" customFormat="1" ht="12.75">
      <c r="A268" s="33" t="s">
        <v>254</v>
      </c>
      <c r="B268" s="34">
        <v>1</v>
      </c>
      <c r="C268" s="34">
        <v>2</v>
      </c>
      <c r="D268" s="34">
        <v>2</v>
      </c>
      <c r="E268" s="34">
        <v>0</v>
      </c>
      <c r="F268" s="34">
        <v>2</v>
      </c>
      <c r="G268" s="34">
        <v>3</v>
      </c>
      <c r="H268" s="51" t="s">
        <v>256</v>
      </c>
      <c r="I268" s="34" t="s">
        <v>255</v>
      </c>
      <c r="J268" s="52">
        <f>230.4+56</f>
        <v>286.4</v>
      </c>
      <c r="K268" s="52">
        <v>781.4</v>
      </c>
      <c r="L268" s="52">
        <v>2603.5</v>
      </c>
      <c r="M268" s="67">
        <v>5755.8</v>
      </c>
      <c r="N268" s="67">
        <v>170.5</v>
      </c>
      <c r="O268" s="67">
        <v>3579.9</v>
      </c>
      <c r="P268" s="67">
        <v>900</v>
      </c>
      <c r="Q268" s="67">
        <v>0</v>
      </c>
      <c r="R268" s="67">
        <v>0</v>
      </c>
      <c r="S268" s="67">
        <v>0</v>
      </c>
      <c r="T268" s="67">
        <v>0</v>
      </c>
      <c r="U268" s="52">
        <f t="shared" si="81"/>
        <v>13007</v>
      </c>
      <c r="V268" s="34">
        <v>2020</v>
      </c>
      <c r="W268" s="4">
        <f t="shared" si="82"/>
        <v>3409.4</v>
      </c>
      <c r="X268" s="4">
        <f t="shared" si="83"/>
        <v>-900</v>
      </c>
      <c r="Y268" s="4"/>
      <c r="Z268" s="3"/>
    </row>
    <row r="269" spans="1:24" ht="51">
      <c r="A269" s="33" t="s">
        <v>254</v>
      </c>
      <c r="B269" s="34">
        <v>1</v>
      </c>
      <c r="C269" s="34">
        <v>2</v>
      </c>
      <c r="D269" s="34">
        <v>2</v>
      </c>
      <c r="E269" s="34">
        <v>0</v>
      </c>
      <c r="F269" s="34">
        <v>2</v>
      </c>
      <c r="G269" s="35"/>
      <c r="H269" s="54" t="s">
        <v>337</v>
      </c>
      <c r="I269" s="35" t="s">
        <v>294</v>
      </c>
      <c r="J269" s="117">
        <v>0</v>
      </c>
      <c r="K269" s="117">
        <v>6</v>
      </c>
      <c r="L269" s="117">
        <v>7</v>
      </c>
      <c r="M269" s="103">
        <v>20</v>
      </c>
      <c r="N269" s="103">
        <v>1</v>
      </c>
      <c r="O269" s="103">
        <v>2</v>
      </c>
      <c r="P269" s="103">
        <v>0</v>
      </c>
      <c r="Q269" s="103">
        <v>0</v>
      </c>
      <c r="R269" s="103">
        <v>0</v>
      </c>
      <c r="S269" s="103">
        <v>0</v>
      </c>
      <c r="T269" s="103">
        <v>0</v>
      </c>
      <c r="U269" s="117">
        <f t="shared" si="81"/>
        <v>35</v>
      </c>
      <c r="V269" s="35">
        <v>2020</v>
      </c>
      <c r="W269" s="4">
        <f t="shared" si="82"/>
        <v>1</v>
      </c>
      <c r="X269" s="4">
        <f t="shared" si="83"/>
        <v>0</v>
      </c>
    </row>
    <row r="270" spans="1:24" ht="38.25">
      <c r="A270" s="33" t="s">
        <v>254</v>
      </c>
      <c r="B270" s="34">
        <v>1</v>
      </c>
      <c r="C270" s="34">
        <v>2</v>
      </c>
      <c r="D270" s="34">
        <v>2</v>
      </c>
      <c r="E270" s="34">
        <v>0</v>
      </c>
      <c r="F270" s="34">
        <v>2</v>
      </c>
      <c r="G270" s="35"/>
      <c r="H270" s="54" t="s">
        <v>338</v>
      </c>
      <c r="I270" s="35" t="s">
        <v>294</v>
      </c>
      <c r="J270" s="117">
        <v>2</v>
      </c>
      <c r="K270" s="117">
        <v>0</v>
      </c>
      <c r="L270" s="117">
        <v>5</v>
      </c>
      <c r="M270" s="103">
        <v>5</v>
      </c>
      <c r="N270" s="103">
        <v>0</v>
      </c>
      <c r="O270" s="103">
        <v>0</v>
      </c>
      <c r="P270" s="103">
        <v>1</v>
      </c>
      <c r="Q270" s="103">
        <v>0</v>
      </c>
      <c r="R270" s="103">
        <v>0</v>
      </c>
      <c r="S270" s="103">
        <v>0</v>
      </c>
      <c r="T270" s="103">
        <v>0</v>
      </c>
      <c r="U270" s="117">
        <f t="shared" si="81"/>
        <v>12</v>
      </c>
      <c r="V270" s="35">
        <v>2021</v>
      </c>
      <c r="W270" s="4">
        <f t="shared" si="82"/>
        <v>0</v>
      </c>
      <c r="X270" s="4">
        <f t="shared" si="83"/>
        <v>-1</v>
      </c>
    </row>
    <row r="271" spans="1:26" s="7" customFormat="1" ht="51">
      <c r="A271" s="36" t="s">
        <v>254</v>
      </c>
      <c r="B271" s="37">
        <v>1</v>
      </c>
      <c r="C271" s="37">
        <v>2</v>
      </c>
      <c r="D271" s="37">
        <v>2</v>
      </c>
      <c r="E271" s="37">
        <v>0</v>
      </c>
      <c r="F271" s="37">
        <v>3</v>
      </c>
      <c r="G271" s="37"/>
      <c r="H271" s="49" t="s">
        <v>401</v>
      </c>
      <c r="I271" s="37" t="s">
        <v>255</v>
      </c>
      <c r="J271" s="45">
        <f>J272</f>
        <v>0</v>
      </c>
      <c r="K271" s="45">
        <f>K272</f>
        <v>6515.5</v>
      </c>
      <c r="L271" s="45">
        <f>L272</f>
        <v>2821.4</v>
      </c>
      <c r="M271" s="50">
        <f>M272+M273</f>
        <v>72992.4</v>
      </c>
      <c r="N271" s="50">
        <f>N272+N273</f>
        <v>0</v>
      </c>
      <c r="O271" s="50">
        <v>0</v>
      </c>
      <c r="P271" s="50">
        <f>P272</f>
        <v>92332.8</v>
      </c>
      <c r="Q271" s="50">
        <f>Q272</f>
        <v>0</v>
      </c>
      <c r="R271" s="50">
        <f>R272</f>
        <v>0</v>
      </c>
      <c r="S271" s="50">
        <f>S272</f>
        <v>96668</v>
      </c>
      <c r="T271" s="50">
        <f>T272</f>
        <v>99368</v>
      </c>
      <c r="U271" s="45">
        <f t="shared" si="81"/>
        <v>278365.3</v>
      </c>
      <c r="V271" s="37">
        <v>2024</v>
      </c>
      <c r="W271" s="4">
        <f t="shared" si="82"/>
        <v>0</v>
      </c>
      <c r="X271" s="4">
        <f t="shared" si="83"/>
        <v>-92332.8</v>
      </c>
      <c r="Y271" s="4"/>
      <c r="Z271" s="3"/>
    </row>
    <row r="272" spans="1:26" s="7" customFormat="1" ht="12.75">
      <c r="A272" s="33" t="s">
        <v>254</v>
      </c>
      <c r="B272" s="34">
        <v>1</v>
      </c>
      <c r="C272" s="34">
        <v>2</v>
      </c>
      <c r="D272" s="34">
        <v>2</v>
      </c>
      <c r="E272" s="34">
        <v>0</v>
      </c>
      <c r="F272" s="34">
        <v>3</v>
      </c>
      <c r="G272" s="34">
        <v>3</v>
      </c>
      <c r="H272" s="51" t="s">
        <v>256</v>
      </c>
      <c r="I272" s="34" t="s">
        <v>255</v>
      </c>
      <c r="J272" s="52">
        <v>0</v>
      </c>
      <c r="K272" s="52">
        <v>6515.5</v>
      </c>
      <c r="L272" s="52">
        <v>2821.4</v>
      </c>
      <c r="M272" s="67">
        <v>66617.2</v>
      </c>
      <c r="N272" s="67">
        <v>0</v>
      </c>
      <c r="O272" s="67">
        <v>0</v>
      </c>
      <c r="P272" s="67">
        <v>92332.8</v>
      </c>
      <c r="Q272" s="67">
        <v>0</v>
      </c>
      <c r="R272" s="67">
        <v>0</v>
      </c>
      <c r="S272" s="67">
        <f>96683-15</f>
        <v>96668</v>
      </c>
      <c r="T272" s="67">
        <f>99383-15</f>
        <v>99368</v>
      </c>
      <c r="U272" s="52">
        <f t="shared" si="81"/>
        <v>271990.1</v>
      </c>
      <c r="V272" s="34">
        <v>2024</v>
      </c>
      <c r="W272" s="4">
        <f t="shared" si="82"/>
        <v>0</v>
      </c>
      <c r="X272" s="4">
        <f t="shared" si="83"/>
        <v>-92332.8</v>
      </c>
      <c r="Y272" s="4"/>
      <c r="Z272" s="3"/>
    </row>
    <row r="273" spans="1:26" s="7" customFormat="1" ht="12.75">
      <c r="A273" s="33" t="s">
        <v>254</v>
      </c>
      <c r="B273" s="34">
        <v>1</v>
      </c>
      <c r="C273" s="34">
        <v>2</v>
      </c>
      <c r="D273" s="34">
        <v>2</v>
      </c>
      <c r="E273" s="34">
        <v>0</v>
      </c>
      <c r="F273" s="34">
        <v>3</v>
      </c>
      <c r="G273" s="34">
        <v>2</v>
      </c>
      <c r="H273" s="51" t="s">
        <v>257</v>
      </c>
      <c r="I273" s="34" t="s">
        <v>255</v>
      </c>
      <c r="J273" s="52"/>
      <c r="K273" s="52"/>
      <c r="L273" s="52"/>
      <c r="M273" s="67">
        <v>6375.2</v>
      </c>
      <c r="N273" s="67"/>
      <c r="O273" s="67"/>
      <c r="P273" s="67"/>
      <c r="Q273" s="67"/>
      <c r="R273" s="67"/>
      <c r="S273" s="67"/>
      <c r="T273" s="67"/>
      <c r="U273" s="52">
        <f>J273+K273+L273+M273+O273+Q273+R273+S273+T273</f>
        <v>6375.2</v>
      </c>
      <c r="V273" s="34"/>
      <c r="W273" s="4">
        <f t="shared" si="82"/>
        <v>0</v>
      </c>
      <c r="X273" s="4">
        <f t="shared" si="83"/>
        <v>0</v>
      </c>
      <c r="Y273" s="4"/>
      <c r="Z273" s="3"/>
    </row>
    <row r="274" spans="1:24" ht="38.25">
      <c r="A274" s="33" t="s">
        <v>254</v>
      </c>
      <c r="B274" s="34">
        <v>1</v>
      </c>
      <c r="C274" s="34">
        <v>2</v>
      </c>
      <c r="D274" s="34">
        <v>2</v>
      </c>
      <c r="E274" s="34">
        <v>0</v>
      </c>
      <c r="F274" s="34">
        <v>3</v>
      </c>
      <c r="G274" s="179"/>
      <c r="H274" s="180" t="s">
        <v>339</v>
      </c>
      <c r="I274" s="179" t="s">
        <v>294</v>
      </c>
      <c r="J274" s="118">
        <v>0</v>
      </c>
      <c r="K274" s="118">
        <v>1</v>
      </c>
      <c r="L274" s="118">
        <v>1</v>
      </c>
      <c r="M274" s="119">
        <v>2</v>
      </c>
      <c r="N274" s="119">
        <v>0</v>
      </c>
      <c r="O274" s="119">
        <v>0</v>
      </c>
      <c r="P274" s="119">
        <v>1</v>
      </c>
      <c r="Q274" s="119">
        <v>0</v>
      </c>
      <c r="R274" s="119">
        <v>0</v>
      </c>
      <c r="S274" s="119">
        <v>1</v>
      </c>
      <c r="T274" s="119">
        <v>1</v>
      </c>
      <c r="U274" s="47">
        <f>J274+K274+L274+M274+O274+Q274+R274+S274+T274</f>
        <v>6</v>
      </c>
      <c r="V274" s="120">
        <v>2024</v>
      </c>
      <c r="W274" s="4">
        <f t="shared" si="82"/>
        <v>0</v>
      </c>
      <c r="X274" s="4">
        <f t="shared" si="83"/>
        <v>-1</v>
      </c>
    </row>
    <row r="275" spans="1:26" s="7" customFormat="1" ht="51">
      <c r="A275" s="36" t="s">
        <v>254</v>
      </c>
      <c r="B275" s="37">
        <v>1</v>
      </c>
      <c r="C275" s="37">
        <v>2</v>
      </c>
      <c r="D275" s="37">
        <v>2</v>
      </c>
      <c r="E275" s="37">
        <v>0</v>
      </c>
      <c r="F275" s="37">
        <v>4</v>
      </c>
      <c r="G275" s="181"/>
      <c r="H275" s="43" t="s">
        <v>402</v>
      </c>
      <c r="I275" s="37" t="s">
        <v>255</v>
      </c>
      <c r="J275" s="45">
        <f>J277</f>
        <v>0</v>
      </c>
      <c r="K275" s="45">
        <f>K277</f>
        <v>0</v>
      </c>
      <c r="L275" s="45">
        <f>L277</f>
        <v>0</v>
      </c>
      <c r="M275" s="50">
        <f>M277</f>
        <v>0</v>
      </c>
      <c r="N275" s="50">
        <f>N277</f>
        <v>0</v>
      </c>
      <c r="O275" s="50">
        <v>0</v>
      </c>
      <c r="P275" s="50">
        <v>0</v>
      </c>
      <c r="Q275" s="50">
        <v>0</v>
      </c>
      <c r="R275" s="50">
        <f>R277</f>
        <v>0</v>
      </c>
      <c r="S275" s="50">
        <f>S276</f>
        <v>15</v>
      </c>
      <c r="T275" s="50">
        <f>T276</f>
        <v>15</v>
      </c>
      <c r="U275" s="45">
        <f>SUM(J275:T275)</f>
        <v>30</v>
      </c>
      <c r="V275" s="37">
        <v>2024</v>
      </c>
      <c r="W275" s="4">
        <f t="shared" si="82"/>
        <v>0</v>
      </c>
      <c r="X275" s="4">
        <f t="shared" si="83"/>
        <v>0</v>
      </c>
      <c r="Y275" s="4"/>
      <c r="Z275" s="3"/>
    </row>
    <row r="276" spans="1:26" s="7" customFormat="1" ht="12.75">
      <c r="A276" s="33" t="s">
        <v>254</v>
      </c>
      <c r="B276" s="34">
        <v>1</v>
      </c>
      <c r="C276" s="34">
        <v>2</v>
      </c>
      <c r="D276" s="34">
        <v>2</v>
      </c>
      <c r="E276" s="34">
        <v>0</v>
      </c>
      <c r="F276" s="34">
        <v>4</v>
      </c>
      <c r="G276" s="34">
        <v>3</v>
      </c>
      <c r="H276" s="51" t="s">
        <v>256</v>
      </c>
      <c r="I276" s="34" t="s">
        <v>255</v>
      </c>
      <c r="J276" s="52">
        <v>0</v>
      </c>
      <c r="K276" s="52">
        <v>0</v>
      </c>
      <c r="L276" s="52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15</v>
      </c>
      <c r="T276" s="67">
        <v>15</v>
      </c>
      <c r="U276" s="52">
        <f>SUM(J276:T276)</f>
        <v>30</v>
      </c>
      <c r="V276" s="34">
        <v>2024</v>
      </c>
      <c r="W276" s="4">
        <f t="shared" si="82"/>
        <v>0</v>
      </c>
      <c r="X276" s="4">
        <f t="shared" si="83"/>
        <v>0</v>
      </c>
      <c r="Y276" s="4"/>
      <c r="Z276" s="3"/>
    </row>
    <row r="277" spans="1:24" ht="51">
      <c r="A277" s="33" t="s">
        <v>254</v>
      </c>
      <c r="B277" s="34">
        <v>1</v>
      </c>
      <c r="C277" s="34">
        <v>2</v>
      </c>
      <c r="D277" s="34">
        <v>2</v>
      </c>
      <c r="E277" s="34">
        <v>0</v>
      </c>
      <c r="F277" s="34">
        <v>4</v>
      </c>
      <c r="G277" s="179"/>
      <c r="H277" s="54" t="s">
        <v>237</v>
      </c>
      <c r="I277" s="35" t="s">
        <v>294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70">
        <v>0</v>
      </c>
      <c r="S277" s="70">
        <v>1</v>
      </c>
      <c r="T277" s="70">
        <v>1</v>
      </c>
      <c r="U277" s="47">
        <f>T277</f>
        <v>1</v>
      </c>
      <c r="V277" s="35">
        <v>2024</v>
      </c>
      <c r="W277" s="4">
        <f t="shared" si="82"/>
        <v>0</v>
      </c>
      <c r="X277" s="4">
        <f t="shared" si="83"/>
        <v>0</v>
      </c>
    </row>
    <row r="278" spans="1:26" s="7" customFormat="1" ht="57" customHeight="1">
      <c r="A278" s="31" t="s">
        <v>254</v>
      </c>
      <c r="B278" s="32">
        <v>1</v>
      </c>
      <c r="C278" s="32">
        <v>2</v>
      </c>
      <c r="D278" s="32">
        <v>3</v>
      </c>
      <c r="E278" s="32">
        <v>0</v>
      </c>
      <c r="F278" s="32">
        <v>0</v>
      </c>
      <c r="G278" s="32"/>
      <c r="H278" s="30" t="s">
        <v>340</v>
      </c>
      <c r="I278" s="32" t="s">
        <v>255</v>
      </c>
      <c r="J278" s="68">
        <f>J279+J280+J281</f>
        <v>30762.3</v>
      </c>
      <c r="K278" s="68">
        <f>K279+K280</f>
        <v>76359.4</v>
      </c>
      <c r="L278" s="68">
        <f>L279+L280</f>
        <v>138909.8</v>
      </c>
      <c r="M278" s="68">
        <f aca="true" t="shared" si="85" ref="M278:T278">M279+M280+M281</f>
        <v>165060.8</v>
      </c>
      <c r="N278" s="68">
        <f>N279+N280+N281</f>
        <v>70732.3</v>
      </c>
      <c r="O278" s="68">
        <f t="shared" si="85"/>
        <v>110785.4</v>
      </c>
      <c r="P278" s="68">
        <f>P279+P280+P281</f>
        <v>29824</v>
      </c>
      <c r="Q278" s="68">
        <f t="shared" si="85"/>
        <v>86955.7</v>
      </c>
      <c r="R278" s="68">
        <f t="shared" si="85"/>
        <v>99885.2</v>
      </c>
      <c r="S278" s="68">
        <f>S279+S280+S281</f>
        <v>12960</v>
      </c>
      <c r="T278" s="68">
        <f t="shared" si="85"/>
        <v>10260</v>
      </c>
      <c r="U278" s="68">
        <f>J278+K278+L278+M278+O278+Q278+R278+S278+T278</f>
        <v>731938.6</v>
      </c>
      <c r="V278" s="121">
        <v>2024</v>
      </c>
      <c r="W278" s="4">
        <f t="shared" si="82"/>
        <v>40053.1</v>
      </c>
      <c r="X278" s="4">
        <f t="shared" si="83"/>
        <v>57131.7</v>
      </c>
      <c r="Y278" s="4"/>
      <c r="Z278" s="3"/>
    </row>
    <row r="279" spans="1:26" s="7" customFormat="1" ht="12.75">
      <c r="A279" s="33" t="s">
        <v>254</v>
      </c>
      <c r="B279" s="34">
        <v>1</v>
      </c>
      <c r="C279" s="34">
        <v>2</v>
      </c>
      <c r="D279" s="34">
        <v>3</v>
      </c>
      <c r="E279" s="34">
        <v>0</v>
      </c>
      <c r="F279" s="34">
        <v>0</v>
      </c>
      <c r="G279" s="34">
        <v>3</v>
      </c>
      <c r="H279" s="51" t="s">
        <v>256</v>
      </c>
      <c r="I279" s="34" t="s">
        <v>255</v>
      </c>
      <c r="J279" s="52">
        <f aca="true" t="shared" si="86" ref="J279:T279">J287+J297+J304+J309+J316+J328</f>
        <v>23312.6</v>
      </c>
      <c r="K279" s="52">
        <f t="shared" si="86"/>
        <v>74309.3</v>
      </c>
      <c r="L279" s="52">
        <f t="shared" si="86"/>
        <v>136758.6</v>
      </c>
      <c r="M279" s="67">
        <f t="shared" si="86"/>
        <v>155589.3</v>
      </c>
      <c r="N279" s="67">
        <f>N287+N297+N304+N309+N316+N328</f>
        <v>70732.3</v>
      </c>
      <c r="O279" s="67">
        <f t="shared" si="86"/>
        <v>110785.4</v>
      </c>
      <c r="P279" s="67">
        <f>P287+P297+P304+P309+P316+P328</f>
        <v>29824</v>
      </c>
      <c r="Q279" s="67">
        <f>Q287+Q297+Q304+Q309+Q316+Q328</f>
        <v>86955.7</v>
      </c>
      <c r="R279" s="67">
        <f t="shared" si="86"/>
        <v>99885.2</v>
      </c>
      <c r="S279" s="67">
        <f t="shared" si="86"/>
        <v>12960</v>
      </c>
      <c r="T279" s="67">
        <f t="shared" si="86"/>
        <v>10260</v>
      </c>
      <c r="U279" s="52">
        <f>J279+K279+L279+M279+O279+Q279+R279+S279+T279</f>
        <v>710816.1</v>
      </c>
      <c r="V279" s="34">
        <v>2024</v>
      </c>
      <c r="W279" s="4">
        <f t="shared" si="82"/>
        <v>40053.1</v>
      </c>
      <c r="X279" s="4">
        <f t="shared" si="83"/>
        <v>57131.7</v>
      </c>
      <c r="Y279" s="4"/>
      <c r="Z279" s="3"/>
    </row>
    <row r="280" spans="1:26" s="7" customFormat="1" ht="12.75">
      <c r="A280" s="33" t="s">
        <v>254</v>
      </c>
      <c r="B280" s="34">
        <v>1</v>
      </c>
      <c r="C280" s="34">
        <v>2</v>
      </c>
      <c r="D280" s="34">
        <v>3</v>
      </c>
      <c r="E280" s="34">
        <v>0</v>
      </c>
      <c r="F280" s="34">
        <v>0</v>
      </c>
      <c r="G280" s="34">
        <v>2</v>
      </c>
      <c r="H280" s="51" t="s">
        <v>257</v>
      </c>
      <c r="I280" s="34" t="s">
        <v>255</v>
      </c>
      <c r="J280" s="52">
        <f aca="true" t="shared" si="87" ref="J280:T280">J288+J298+J305+J317+J329</f>
        <v>5966.4</v>
      </c>
      <c r="K280" s="52">
        <f t="shared" si="87"/>
        <v>2050.1</v>
      </c>
      <c r="L280" s="52">
        <f t="shared" si="87"/>
        <v>2151.2</v>
      </c>
      <c r="M280" s="67">
        <f t="shared" si="87"/>
        <v>9471.5</v>
      </c>
      <c r="N280" s="67">
        <f>N288+N298+N305+N317+N329</f>
        <v>0</v>
      </c>
      <c r="O280" s="67">
        <f t="shared" si="87"/>
        <v>0</v>
      </c>
      <c r="P280" s="67">
        <f>P288+P298+P305+P317+P329</f>
        <v>0</v>
      </c>
      <c r="Q280" s="67">
        <f t="shared" si="87"/>
        <v>0</v>
      </c>
      <c r="R280" s="67">
        <f t="shared" si="87"/>
        <v>0</v>
      </c>
      <c r="S280" s="67">
        <f t="shared" si="87"/>
        <v>0</v>
      </c>
      <c r="T280" s="67">
        <f t="shared" si="87"/>
        <v>0</v>
      </c>
      <c r="U280" s="52">
        <f>J280+K280+L280+M280+O280+Q280+R280+S280+T280</f>
        <v>19639.2</v>
      </c>
      <c r="V280" s="34">
        <v>2019</v>
      </c>
      <c r="W280" s="4">
        <f t="shared" si="82"/>
        <v>0</v>
      </c>
      <c r="X280" s="4">
        <f t="shared" si="83"/>
        <v>0</v>
      </c>
      <c r="Y280" s="4"/>
      <c r="Z280" s="3"/>
    </row>
    <row r="281" spans="1:26" s="7" customFormat="1" ht="12.75">
      <c r="A281" s="33" t="s">
        <v>254</v>
      </c>
      <c r="B281" s="34">
        <v>1</v>
      </c>
      <c r="C281" s="34">
        <v>2</v>
      </c>
      <c r="D281" s="34">
        <v>3</v>
      </c>
      <c r="E281" s="34">
        <v>0</v>
      </c>
      <c r="F281" s="34">
        <v>0</v>
      </c>
      <c r="G281" s="34">
        <v>1</v>
      </c>
      <c r="H281" s="51" t="s">
        <v>258</v>
      </c>
      <c r="I281" s="34" t="s">
        <v>255</v>
      </c>
      <c r="J281" s="52">
        <f>J299</f>
        <v>1483.3</v>
      </c>
      <c r="K281" s="52">
        <v>0</v>
      </c>
      <c r="L281" s="52">
        <v>0</v>
      </c>
      <c r="M281" s="67">
        <v>0</v>
      </c>
      <c r="N281" s="67"/>
      <c r="O281" s="67">
        <v>0</v>
      </c>
      <c r="P281" s="67"/>
      <c r="Q281" s="67">
        <v>0</v>
      </c>
      <c r="R281" s="67">
        <f>R299</f>
        <v>0</v>
      </c>
      <c r="S281" s="67">
        <f>S299</f>
        <v>0</v>
      </c>
      <c r="T281" s="67">
        <f>T299</f>
        <v>0</v>
      </c>
      <c r="U281" s="52">
        <f>J281+K281+L281+M281+O281+Q281+R281+S281+T281</f>
        <v>1483.3</v>
      </c>
      <c r="V281" s="34">
        <v>2016</v>
      </c>
      <c r="W281" s="4">
        <f t="shared" si="82"/>
        <v>0</v>
      </c>
      <c r="X281" s="4">
        <f t="shared" si="83"/>
        <v>0</v>
      </c>
      <c r="Y281" s="4"/>
      <c r="Z281" s="3"/>
    </row>
    <row r="282" spans="1:24" ht="63.75">
      <c r="A282" s="33" t="s">
        <v>254</v>
      </c>
      <c r="B282" s="34">
        <v>1</v>
      </c>
      <c r="C282" s="34">
        <v>2</v>
      </c>
      <c r="D282" s="34">
        <v>3</v>
      </c>
      <c r="E282" s="34">
        <v>0</v>
      </c>
      <c r="F282" s="34">
        <v>0</v>
      </c>
      <c r="G282" s="35"/>
      <c r="H282" s="39" t="s">
        <v>341</v>
      </c>
      <c r="I282" s="35" t="s">
        <v>260</v>
      </c>
      <c r="J282" s="40">
        <v>67.6</v>
      </c>
      <c r="K282" s="40">
        <v>97</v>
      </c>
      <c r="L282" s="40">
        <v>94</v>
      </c>
      <c r="M282" s="41">
        <v>98.4</v>
      </c>
      <c r="N282" s="41">
        <v>79.7</v>
      </c>
      <c r="O282" s="41">
        <v>79.7</v>
      </c>
      <c r="P282" s="41">
        <v>85.9</v>
      </c>
      <c r="Q282" s="41">
        <v>85.9</v>
      </c>
      <c r="R282" s="41">
        <v>93.8</v>
      </c>
      <c r="S282" s="41">
        <v>93.8</v>
      </c>
      <c r="T282" s="41">
        <v>93.8</v>
      </c>
      <c r="U282" s="99">
        <f>T282</f>
        <v>93.8</v>
      </c>
      <c r="V282" s="35">
        <v>2024</v>
      </c>
      <c r="W282" s="4">
        <f t="shared" si="82"/>
        <v>0</v>
      </c>
      <c r="X282" s="4">
        <f t="shared" si="83"/>
        <v>0</v>
      </c>
    </row>
    <row r="283" spans="1:24" ht="63.75">
      <c r="A283" s="33" t="s">
        <v>254</v>
      </c>
      <c r="B283" s="34">
        <v>1</v>
      </c>
      <c r="C283" s="34">
        <v>2</v>
      </c>
      <c r="D283" s="34">
        <v>3</v>
      </c>
      <c r="E283" s="34">
        <v>0</v>
      </c>
      <c r="F283" s="34">
        <v>0</v>
      </c>
      <c r="G283" s="35"/>
      <c r="H283" s="39" t="s">
        <v>342</v>
      </c>
      <c r="I283" s="35" t="s">
        <v>294</v>
      </c>
      <c r="J283" s="47">
        <v>46</v>
      </c>
      <c r="K283" s="47">
        <v>65</v>
      </c>
      <c r="L283" s="47">
        <v>63</v>
      </c>
      <c r="M283" s="70">
        <v>63</v>
      </c>
      <c r="N283" s="70">
        <v>51</v>
      </c>
      <c r="O283" s="70">
        <v>63</v>
      </c>
      <c r="P283" s="70">
        <v>55</v>
      </c>
      <c r="Q283" s="70">
        <v>63</v>
      </c>
      <c r="R283" s="70">
        <v>63</v>
      </c>
      <c r="S283" s="70">
        <v>63</v>
      </c>
      <c r="T283" s="70">
        <v>63</v>
      </c>
      <c r="U283" s="47">
        <f>T283</f>
        <v>63</v>
      </c>
      <c r="V283" s="35">
        <v>2024</v>
      </c>
      <c r="W283" s="4">
        <f t="shared" si="82"/>
        <v>12</v>
      </c>
      <c r="X283" s="4">
        <f t="shared" si="83"/>
        <v>8</v>
      </c>
    </row>
    <row r="284" spans="1:24" ht="63.75">
      <c r="A284" s="36" t="s">
        <v>254</v>
      </c>
      <c r="B284" s="37">
        <v>1</v>
      </c>
      <c r="C284" s="37">
        <v>2</v>
      </c>
      <c r="D284" s="37">
        <v>3</v>
      </c>
      <c r="E284" s="37">
        <v>0</v>
      </c>
      <c r="F284" s="37">
        <v>1</v>
      </c>
      <c r="G284" s="38"/>
      <c r="H284" s="43" t="s">
        <v>221</v>
      </c>
      <c r="I284" s="38" t="s">
        <v>279</v>
      </c>
      <c r="J284" s="44" t="s">
        <v>280</v>
      </c>
      <c r="K284" s="44" t="s">
        <v>280</v>
      </c>
      <c r="L284" s="122" t="s">
        <v>280</v>
      </c>
      <c r="M284" s="46" t="s">
        <v>280</v>
      </c>
      <c r="N284" s="46" t="s">
        <v>280</v>
      </c>
      <c r="O284" s="46" t="s">
        <v>280</v>
      </c>
      <c r="P284" s="46" t="s">
        <v>280</v>
      </c>
      <c r="Q284" s="46" t="s">
        <v>280</v>
      </c>
      <c r="R284" s="46" t="s">
        <v>280</v>
      </c>
      <c r="S284" s="46" t="s">
        <v>280</v>
      </c>
      <c r="T284" s="46" t="s">
        <v>280</v>
      </c>
      <c r="U284" s="44" t="s">
        <v>280</v>
      </c>
      <c r="V284" s="38">
        <v>2024</v>
      </c>
      <c r="W284" s="4"/>
      <c r="X284" s="4"/>
    </row>
    <row r="285" spans="1:24" ht="76.5">
      <c r="A285" s="33" t="s">
        <v>254</v>
      </c>
      <c r="B285" s="34">
        <v>1</v>
      </c>
      <c r="C285" s="34">
        <v>2</v>
      </c>
      <c r="D285" s="34">
        <v>3</v>
      </c>
      <c r="E285" s="34">
        <v>0</v>
      </c>
      <c r="F285" s="34">
        <v>1</v>
      </c>
      <c r="G285" s="116"/>
      <c r="H285" s="54" t="s">
        <v>80</v>
      </c>
      <c r="I285" s="35" t="s">
        <v>294</v>
      </c>
      <c r="J285" s="47">
        <v>1</v>
      </c>
      <c r="K285" s="47">
        <v>1</v>
      </c>
      <c r="L285" s="47">
        <v>1</v>
      </c>
      <c r="M285" s="70">
        <v>1</v>
      </c>
      <c r="N285" s="70">
        <v>1</v>
      </c>
      <c r="O285" s="70">
        <v>1</v>
      </c>
      <c r="P285" s="70">
        <v>1</v>
      </c>
      <c r="Q285" s="70">
        <v>1</v>
      </c>
      <c r="R285" s="70">
        <v>1</v>
      </c>
      <c r="S285" s="70">
        <v>1</v>
      </c>
      <c r="T285" s="70">
        <v>1</v>
      </c>
      <c r="U285" s="47">
        <f>J285+K285+L285+M285+O285+Q285+R285+S285+T285</f>
        <v>9</v>
      </c>
      <c r="V285" s="35">
        <v>2024</v>
      </c>
      <c r="W285" s="4">
        <f t="shared" si="82"/>
        <v>0</v>
      </c>
      <c r="X285" s="4">
        <f t="shared" si="83"/>
        <v>0</v>
      </c>
    </row>
    <row r="286" spans="1:26" s="7" customFormat="1" ht="63.75">
      <c r="A286" s="36" t="s">
        <v>254</v>
      </c>
      <c r="B286" s="37">
        <v>1</v>
      </c>
      <c r="C286" s="37">
        <v>2</v>
      </c>
      <c r="D286" s="37">
        <v>3</v>
      </c>
      <c r="E286" s="37">
        <v>0</v>
      </c>
      <c r="F286" s="37">
        <v>2</v>
      </c>
      <c r="G286" s="37"/>
      <c r="H286" s="49" t="s">
        <v>403</v>
      </c>
      <c r="I286" s="37" t="s">
        <v>255</v>
      </c>
      <c r="J286" s="45">
        <f aca="true" t="shared" si="88" ref="J286:T286">J287+J288</f>
        <v>22780.6</v>
      </c>
      <c r="K286" s="45">
        <f t="shared" si="88"/>
        <v>33103.1</v>
      </c>
      <c r="L286" s="45">
        <f t="shared" si="88"/>
        <v>69658.2</v>
      </c>
      <c r="M286" s="50">
        <f>M287+M288</f>
        <v>73730.7</v>
      </c>
      <c r="N286" s="50">
        <f>N287+N288</f>
        <v>9731</v>
      </c>
      <c r="O286" s="50">
        <f>O287+O288</f>
        <v>35055.4</v>
      </c>
      <c r="P286" s="50">
        <f>P287+P288</f>
        <v>7100</v>
      </c>
      <c r="Q286" s="50">
        <f t="shared" si="88"/>
        <v>37145.1</v>
      </c>
      <c r="R286" s="50">
        <f t="shared" si="88"/>
        <v>55089.7</v>
      </c>
      <c r="S286" s="50">
        <f t="shared" si="88"/>
        <v>0</v>
      </c>
      <c r="T286" s="50">
        <f t="shared" si="88"/>
        <v>0</v>
      </c>
      <c r="U286" s="45">
        <f>J286+K286+L286+M286+O286+Q286+R286+S286+T286</f>
        <v>326562.8</v>
      </c>
      <c r="V286" s="37">
        <v>2022</v>
      </c>
      <c r="W286" s="4">
        <f t="shared" si="82"/>
        <v>25324.4</v>
      </c>
      <c r="X286" s="4">
        <f t="shared" si="83"/>
        <v>30045.1</v>
      </c>
      <c r="Y286" s="4"/>
      <c r="Z286" s="3"/>
    </row>
    <row r="287" spans="1:26" s="7" customFormat="1" ht="12.75">
      <c r="A287" s="33" t="s">
        <v>254</v>
      </c>
      <c r="B287" s="34">
        <v>1</v>
      </c>
      <c r="C287" s="34">
        <v>2</v>
      </c>
      <c r="D287" s="34">
        <v>3</v>
      </c>
      <c r="E287" s="34">
        <v>0</v>
      </c>
      <c r="F287" s="34">
        <v>2</v>
      </c>
      <c r="G287" s="34">
        <v>3</v>
      </c>
      <c r="H287" s="51" t="s">
        <v>256</v>
      </c>
      <c r="I287" s="34" t="s">
        <v>255</v>
      </c>
      <c r="J287" s="52">
        <f>16330.7+375+375.2</f>
        <v>17080.9</v>
      </c>
      <c r="K287" s="52">
        <v>32043.1</v>
      </c>
      <c r="L287" s="52">
        <f>69658.2-1401.6</f>
        <v>68256.6</v>
      </c>
      <c r="M287" s="67">
        <v>72808.6</v>
      </c>
      <c r="N287" s="67">
        <v>9731</v>
      </c>
      <c r="O287" s="67">
        <f>35055439/1000</f>
        <v>35055.4</v>
      </c>
      <c r="P287" s="67">
        <v>7100</v>
      </c>
      <c r="Q287" s="67">
        <v>37145.1</v>
      </c>
      <c r="R287" s="67">
        <v>55089.7</v>
      </c>
      <c r="S287" s="67">
        <v>0</v>
      </c>
      <c r="T287" s="67">
        <v>0</v>
      </c>
      <c r="U287" s="52">
        <f>J287+K287+L287+M287+O287+Q287+R287+S287+T287</f>
        <v>317479.4</v>
      </c>
      <c r="V287" s="34">
        <v>2022</v>
      </c>
      <c r="W287" s="4">
        <f t="shared" si="82"/>
        <v>25324.4</v>
      </c>
      <c r="X287" s="4">
        <f t="shared" si="83"/>
        <v>30045.1</v>
      </c>
      <c r="Y287" s="4"/>
      <c r="Z287" s="3"/>
    </row>
    <row r="288" spans="1:26" s="7" customFormat="1" ht="12.75">
      <c r="A288" s="33" t="s">
        <v>254</v>
      </c>
      <c r="B288" s="34">
        <v>1</v>
      </c>
      <c r="C288" s="34">
        <v>2</v>
      </c>
      <c r="D288" s="34">
        <v>3</v>
      </c>
      <c r="E288" s="34">
        <v>0</v>
      </c>
      <c r="F288" s="34">
        <v>2</v>
      </c>
      <c r="G288" s="34">
        <v>2</v>
      </c>
      <c r="H288" s="51" t="s">
        <v>257</v>
      </c>
      <c r="I288" s="34" t="s">
        <v>255</v>
      </c>
      <c r="J288" s="52">
        <f>5000+699.7</f>
        <v>5699.7</v>
      </c>
      <c r="K288" s="52">
        <v>1060</v>
      </c>
      <c r="L288" s="52">
        <v>1401.6</v>
      </c>
      <c r="M288" s="67">
        <v>922.1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52">
        <f>J288+K288+L288+M288+O288+Q288+R288+S288+T288</f>
        <v>9083.4</v>
      </c>
      <c r="V288" s="34">
        <v>2018</v>
      </c>
      <c r="W288" s="4">
        <f t="shared" si="82"/>
        <v>0</v>
      </c>
      <c r="X288" s="4">
        <f t="shared" si="83"/>
        <v>0</v>
      </c>
      <c r="Y288" s="4"/>
      <c r="Z288" s="3"/>
    </row>
    <row r="289" spans="1:24" ht="29.25" customHeight="1">
      <c r="A289" s="33" t="s">
        <v>254</v>
      </c>
      <c r="B289" s="34">
        <v>1</v>
      </c>
      <c r="C289" s="34">
        <v>2</v>
      </c>
      <c r="D289" s="34">
        <v>3</v>
      </c>
      <c r="E289" s="34">
        <v>0</v>
      </c>
      <c r="F289" s="34">
        <v>2</v>
      </c>
      <c r="G289" s="35"/>
      <c r="H289" s="54" t="s">
        <v>343</v>
      </c>
      <c r="I289" s="35" t="s">
        <v>329</v>
      </c>
      <c r="J289" s="40">
        <f>340+2065</f>
        <v>2405</v>
      </c>
      <c r="K289" s="40">
        <v>314</v>
      </c>
      <c r="L289" s="40">
        <v>1359.2</v>
      </c>
      <c r="M289" s="41">
        <v>1695.5</v>
      </c>
      <c r="N289" s="41">
        <v>25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0">
        <f>J289+K289+L289+M289+O289+Q289+R289+S289+T289</f>
        <v>5773.7</v>
      </c>
      <c r="V289" s="35">
        <v>2020</v>
      </c>
      <c r="W289" s="4">
        <f t="shared" si="82"/>
        <v>-25</v>
      </c>
      <c r="X289" s="4">
        <f t="shared" si="83"/>
        <v>0</v>
      </c>
    </row>
    <row r="290" spans="1:24" ht="38.25">
      <c r="A290" s="33" t="s">
        <v>254</v>
      </c>
      <c r="B290" s="34">
        <v>1</v>
      </c>
      <c r="C290" s="34">
        <v>2</v>
      </c>
      <c r="D290" s="34">
        <v>3</v>
      </c>
      <c r="E290" s="34">
        <v>0</v>
      </c>
      <c r="F290" s="34">
        <v>2</v>
      </c>
      <c r="G290" s="35"/>
      <c r="H290" s="54" t="s">
        <v>344</v>
      </c>
      <c r="I290" s="35" t="s">
        <v>329</v>
      </c>
      <c r="J290" s="40">
        <v>4714</v>
      </c>
      <c r="K290" s="40">
        <v>7987.3</v>
      </c>
      <c r="L290" s="40">
        <v>21518.9</v>
      </c>
      <c r="M290" s="41">
        <v>20906</v>
      </c>
      <c r="N290" s="41">
        <v>2075</v>
      </c>
      <c r="O290" s="41">
        <v>294.3</v>
      </c>
      <c r="P290" s="41">
        <v>0</v>
      </c>
      <c r="Q290" s="41">
        <v>0</v>
      </c>
      <c r="R290" s="41">
        <v>6968</v>
      </c>
      <c r="S290" s="41">
        <v>0</v>
      </c>
      <c r="T290" s="41">
        <v>0</v>
      </c>
      <c r="U290" s="40">
        <f aca="true" t="shared" si="89" ref="U290:U295">J290+K290+L290+M290+O290+Q290+R290+S290+T290</f>
        <v>62388.5</v>
      </c>
      <c r="V290" s="35">
        <v>2022</v>
      </c>
      <c r="W290" s="4">
        <f t="shared" si="82"/>
        <v>-1780.7</v>
      </c>
      <c r="X290" s="4">
        <f t="shared" si="83"/>
        <v>0</v>
      </c>
    </row>
    <row r="291" spans="1:24" ht="38.25">
      <c r="A291" s="33" t="s">
        <v>254</v>
      </c>
      <c r="B291" s="34">
        <v>1</v>
      </c>
      <c r="C291" s="34">
        <v>2</v>
      </c>
      <c r="D291" s="34">
        <v>3</v>
      </c>
      <c r="E291" s="34">
        <v>0</v>
      </c>
      <c r="F291" s="34">
        <v>2</v>
      </c>
      <c r="G291" s="35"/>
      <c r="H291" s="54" t="s">
        <v>345</v>
      </c>
      <c r="I291" s="35" t="s">
        <v>329</v>
      </c>
      <c r="J291" s="40">
        <v>3816</v>
      </c>
      <c r="K291" s="40">
        <v>2775</v>
      </c>
      <c r="L291" s="40">
        <v>1598.7</v>
      </c>
      <c r="M291" s="41">
        <v>2616.3</v>
      </c>
      <c r="N291" s="41">
        <v>750</v>
      </c>
      <c r="O291" s="41">
        <v>5061.4</v>
      </c>
      <c r="P291" s="41">
        <v>4233</v>
      </c>
      <c r="Q291" s="41">
        <v>5701</v>
      </c>
      <c r="R291" s="41">
        <v>2684</v>
      </c>
      <c r="S291" s="41">
        <v>0</v>
      </c>
      <c r="T291" s="41">
        <v>0</v>
      </c>
      <c r="U291" s="40">
        <f t="shared" si="89"/>
        <v>24252.4</v>
      </c>
      <c r="V291" s="35">
        <v>2022</v>
      </c>
      <c r="W291" s="4">
        <f t="shared" si="82"/>
        <v>4311.4</v>
      </c>
      <c r="X291" s="4">
        <f t="shared" si="83"/>
        <v>1468</v>
      </c>
    </row>
    <row r="292" spans="1:24" ht="38.25">
      <c r="A292" s="33" t="s">
        <v>254</v>
      </c>
      <c r="B292" s="34">
        <v>1</v>
      </c>
      <c r="C292" s="34">
        <v>2</v>
      </c>
      <c r="D292" s="34">
        <v>3</v>
      </c>
      <c r="E292" s="34">
        <v>0</v>
      </c>
      <c r="F292" s="34">
        <v>2</v>
      </c>
      <c r="G292" s="35"/>
      <c r="H292" s="54" t="s">
        <v>346</v>
      </c>
      <c r="I292" s="35" t="s">
        <v>294</v>
      </c>
      <c r="J292" s="47">
        <v>5</v>
      </c>
      <c r="K292" s="47">
        <v>26</v>
      </c>
      <c r="L292" s="47">
        <v>27</v>
      </c>
      <c r="M292" s="70">
        <v>19</v>
      </c>
      <c r="N292" s="70">
        <v>5</v>
      </c>
      <c r="O292" s="70">
        <v>2</v>
      </c>
      <c r="P292" s="70">
        <v>0</v>
      </c>
      <c r="Q292" s="70">
        <v>27</v>
      </c>
      <c r="R292" s="70">
        <v>0</v>
      </c>
      <c r="S292" s="70">
        <v>0</v>
      </c>
      <c r="T292" s="70">
        <v>0</v>
      </c>
      <c r="U292" s="40">
        <f t="shared" si="89"/>
        <v>106</v>
      </c>
      <c r="V292" s="35">
        <v>2020</v>
      </c>
      <c r="W292" s="4">
        <f t="shared" si="82"/>
        <v>-3</v>
      </c>
      <c r="X292" s="4">
        <f t="shared" si="83"/>
        <v>27</v>
      </c>
    </row>
    <row r="293" spans="1:24" ht="25.5">
      <c r="A293" s="33" t="s">
        <v>254</v>
      </c>
      <c r="B293" s="34">
        <v>1</v>
      </c>
      <c r="C293" s="34">
        <v>2</v>
      </c>
      <c r="D293" s="34">
        <v>3</v>
      </c>
      <c r="E293" s="34">
        <v>0</v>
      </c>
      <c r="F293" s="34">
        <v>2</v>
      </c>
      <c r="G293" s="35"/>
      <c r="H293" s="54" t="s">
        <v>347</v>
      </c>
      <c r="I293" s="35" t="s">
        <v>348</v>
      </c>
      <c r="J293" s="40">
        <v>320</v>
      </c>
      <c r="K293" s="40">
        <v>540</v>
      </c>
      <c r="L293" s="47">
        <v>600</v>
      </c>
      <c r="M293" s="41">
        <v>1808.7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0">
        <f t="shared" si="89"/>
        <v>3268.7</v>
      </c>
      <c r="V293" s="35">
        <v>2019</v>
      </c>
      <c r="W293" s="4">
        <f t="shared" si="82"/>
        <v>0</v>
      </c>
      <c r="X293" s="4">
        <f t="shared" si="83"/>
        <v>0</v>
      </c>
    </row>
    <row r="294" spans="1:24" ht="38.25">
      <c r="A294" s="33" t="s">
        <v>254</v>
      </c>
      <c r="B294" s="34">
        <v>1</v>
      </c>
      <c r="C294" s="34">
        <v>2</v>
      </c>
      <c r="D294" s="34">
        <v>3</v>
      </c>
      <c r="E294" s="34">
        <v>0</v>
      </c>
      <c r="F294" s="34">
        <v>2</v>
      </c>
      <c r="G294" s="35"/>
      <c r="H294" s="39" t="s">
        <v>349</v>
      </c>
      <c r="I294" s="35" t="s">
        <v>329</v>
      </c>
      <c r="J294" s="40">
        <v>16</v>
      </c>
      <c r="K294" s="40">
        <v>882.8</v>
      </c>
      <c r="L294" s="40">
        <f>2139.5+26.66</f>
        <v>2166.2</v>
      </c>
      <c r="M294" s="41">
        <v>2358.9</v>
      </c>
      <c r="N294" s="41">
        <v>425</v>
      </c>
      <c r="O294" s="41">
        <v>557.9</v>
      </c>
      <c r="P294" s="41">
        <v>0</v>
      </c>
      <c r="Q294" s="41">
        <v>249</v>
      </c>
      <c r="R294" s="41">
        <v>2693</v>
      </c>
      <c r="S294" s="41">
        <v>0</v>
      </c>
      <c r="T294" s="41">
        <v>0</v>
      </c>
      <c r="U294" s="40">
        <f t="shared" si="89"/>
        <v>8923.8</v>
      </c>
      <c r="V294" s="35">
        <v>2022</v>
      </c>
      <c r="W294" s="4">
        <f t="shared" si="82"/>
        <v>132.9</v>
      </c>
      <c r="X294" s="4">
        <f t="shared" si="83"/>
        <v>249</v>
      </c>
    </row>
    <row r="295" spans="1:24" ht="38.25">
      <c r="A295" s="33" t="s">
        <v>254</v>
      </c>
      <c r="B295" s="34">
        <v>1</v>
      </c>
      <c r="C295" s="34">
        <v>2</v>
      </c>
      <c r="D295" s="34">
        <v>3</v>
      </c>
      <c r="E295" s="34">
        <v>0</v>
      </c>
      <c r="F295" s="34">
        <v>2</v>
      </c>
      <c r="G295" s="35"/>
      <c r="H295" s="39" t="s">
        <v>350</v>
      </c>
      <c r="I295" s="35" t="s">
        <v>329</v>
      </c>
      <c r="J295" s="40">
        <v>5</v>
      </c>
      <c r="K295" s="40">
        <v>26.6</v>
      </c>
      <c r="L295" s="40">
        <v>378.1</v>
      </c>
      <c r="M295" s="41">
        <v>56</v>
      </c>
      <c r="N295" s="41">
        <v>0</v>
      </c>
      <c r="O295" s="41">
        <v>0</v>
      </c>
      <c r="P295" s="41">
        <v>0</v>
      </c>
      <c r="Q295" s="41">
        <v>17</v>
      </c>
      <c r="R295" s="41">
        <v>271</v>
      </c>
      <c r="S295" s="41">
        <v>0</v>
      </c>
      <c r="T295" s="41">
        <v>0</v>
      </c>
      <c r="U295" s="40">
        <f t="shared" si="89"/>
        <v>753.7</v>
      </c>
      <c r="V295" s="35">
        <v>2022</v>
      </c>
      <c r="W295" s="4">
        <f t="shared" si="82"/>
        <v>0</v>
      </c>
      <c r="X295" s="4">
        <f t="shared" si="83"/>
        <v>17</v>
      </c>
    </row>
    <row r="296" spans="1:26" s="7" customFormat="1" ht="51">
      <c r="A296" s="36" t="s">
        <v>254</v>
      </c>
      <c r="B296" s="37">
        <v>1</v>
      </c>
      <c r="C296" s="37">
        <v>2</v>
      </c>
      <c r="D296" s="37">
        <v>3</v>
      </c>
      <c r="E296" s="37">
        <v>0</v>
      </c>
      <c r="F296" s="37">
        <v>3</v>
      </c>
      <c r="G296" s="37"/>
      <c r="H296" s="49" t="s">
        <v>404</v>
      </c>
      <c r="I296" s="37" t="s">
        <v>255</v>
      </c>
      <c r="J296" s="45">
        <f>J297+J298+J299</f>
        <v>2684.1</v>
      </c>
      <c r="K296" s="45">
        <f>K297+K298</f>
        <v>16018.5</v>
      </c>
      <c r="L296" s="45">
        <f>L297+L298</f>
        <v>19000.9</v>
      </c>
      <c r="M296" s="50">
        <f aca="true" t="shared" si="90" ref="M296:T296">M297+M298+M299</f>
        <v>27997.6</v>
      </c>
      <c r="N296" s="50">
        <f t="shared" si="90"/>
        <v>43190.4</v>
      </c>
      <c r="O296" s="50">
        <f t="shared" si="90"/>
        <v>26557.7</v>
      </c>
      <c r="P296" s="50">
        <f t="shared" si="90"/>
        <v>5350</v>
      </c>
      <c r="Q296" s="50">
        <f t="shared" si="90"/>
        <v>0</v>
      </c>
      <c r="R296" s="50">
        <f t="shared" si="90"/>
        <v>7869</v>
      </c>
      <c r="S296" s="50">
        <f t="shared" si="90"/>
        <v>0</v>
      </c>
      <c r="T296" s="50">
        <f t="shared" si="90"/>
        <v>0</v>
      </c>
      <c r="U296" s="45">
        <f>J296+K296+L296+M296+O296+Q296+R296+S296+T296</f>
        <v>100127.8</v>
      </c>
      <c r="V296" s="37">
        <v>2022</v>
      </c>
      <c r="W296" s="4">
        <f t="shared" si="82"/>
        <v>-16632.7</v>
      </c>
      <c r="X296" s="4">
        <f t="shared" si="83"/>
        <v>-5350</v>
      </c>
      <c r="Y296" s="4"/>
      <c r="Z296" s="3"/>
    </row>
    <row r="297" spans="1:26" s="7" customFormat="1" ht="12.75">
      <c r="A297" s="33" t="s">
        <v>254</v>
      </c>
      <c r="B297" s="34">
        <v>1</v>
      </c>
      <c r="C297" s="34">
        <v>2</v>
      </c>
      <c r="D297" s="34">
        <v>3</v>
      </c>
      <c r="E297" s="34">
        <v>0</v>
      </c>
      <c r="F297" s="34">
        <v>3</v>
      </c>
      <c r="G297" s="34">
        <v>3</v>
      </c>
      <c r="H297" s="51" t="s">
        <v>256</v>
      </c>
      <c r="I297" s="34" t="s">
        <v>255</v>
      </c>
      <c r="J297" s="52">
        <f>287.5+877.6-231</f>
        <v>934.1</v>
      </c>
      <c r="K297" s="52">
        <v>16018.5</v>
      </c>
      <c r="L297" s="52">
        <f>19000.859-300</f>
        <v>18700.9</v>
      </c>
      <c r="M297" s="67">
        <v>20485.1</v>
      </c>
      <c r="N297" s="67">
        <v>43190.4</v>
      </c>
      <c r="O297" s="67">
        <f>26557730/1000</f>
        <v>26557.7</v>
      </c>
      <c r="P297" s="67">
        <v>5350</v>
      </c>
      <c r="Q297" s="67">
        <v>0</v>
      </c>
      <c r="R297" s="67">
        <v>7869</v>
      </c>
      <c r="S297" s="67">
        <v>0</v>
      </c>
      <c r="T297" s="67">
        <v>0</v>
      </c>
      <c r="U297" s="55">
        <f>J297+K297+L297+M297+O297+Q297+R297+S297+T297</f>
        <v>90565.3</v>
      </c>
      <c r="V297" s="34">
        <v>2022</v>
      </c>
      <c r="W297" s="4">
        <f t="shared" si="82"/>
        <v>-16632.7</v>
      </c>
      <c r="X297" s="4">
        <f t="shared" si="83"/>
        <v>-5350</v>
      </c>
      <c r="Y297" s="4"/>
      <c r="Z297" s="3"/>
    </row>
    <row r="298" spans="1:26" s="7" customFormat="1" ht="12.75">
      <c r="A298" s="33" t="s">
        <v>254</v>
      </c>
      <c r="B298" s="34">
        <v>1</v>
      </c>
      <c r="C298" s="34">
        <v>2</v>
      </c>
      <c r="D298" s="34">
        <v>3</v>
      </c>
      <c r="E298" s="34">
        <v>0</v>
      </c>
      <c r="F298" s="34">
        <v>3</v>
      </c>
      <c r="G298" s="34">
        <v>2</v>
      </c>
      <c r="H298" s="51" t="s">
        <v>257</v>
      </c>
      <c r="I298" s="34" t="s">
        <v>255</v>
      </c>
      <c r="J298" s="52">
        <v>266.7</v>
      </c>
      <c r="K298" s="52">
        <v>0</v>
      </c>
      <c r="L298" s="52">
        <v>300</v>
      </c>
      <c r="M298" s="67">
        <v>7512.5</v>
      </c>
      <c r="N298" s="67">
        <v>0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123">
        <f>SUM(J298:T298)</f>
        <v>8079.2</v>
      </c>
      <c r="V298" s="34">
        <v>2019</v>
      </c>
      <c r="W298" s="4">
        <f t="shared" si="82"/>
        <v>0</v>
      </c>
      <c r="X298" s="4">
        <f t="shared" si="83"/>
        <v>0</v>
      </c>
      <c r="Y298" s="4"/>
      <c r="Z298" s="3"/>
    </row>
    <row r="299" spans="1:26" s="7" customFormat="1" ht="12.75">
      <c r="A299" s="33" t="s">
        <v>254</v>
      </c>
      <c r="B299" s="34">
        <v>1</v>
      </c>
      <c r="C299" s="34">
        <v>2</v>
      </c>
      <c r="D299" s="34">
        <v>3</v>
      </c>
      <c r="E299" s="34">
        <v>0</v>
      </c>
      <c r="F299" s="34">
        <v>3</v>
      </c>
      <c r="G299" s="34">
        <v>1</v>
      </c>
      <c r="H299" s="51" t="s">
        <v>258</v>
      </c>
      <c r="I299" s="34" t="s">
        <v>255</v>
      </c>
      <c r="J299" s="52">
        <v>1483.3</v>
      </c>
      <c r="K299" s="52">
        <v>0</v>
      </c>
      <c r="L299" s="52">
        <v>0</v>
      </c>
      <c r="M299" s="67">
        <v>0</v>
      </c>
      <c r="N299" s="67">
        <v>0</v>
      </c>
      <c r="O299" s="67">
        <v>0</v>
      </c>
      <c r="P299" s="67">
        <v>0</v>
      </c>
      <c r="Q299" s="67">
        <v>0</v>
      </c>
      <c r="R299" s="67">
        <v>0</v>
      </c>
      <c r="S299" s="67">
        <v>0</v>
      </c>
      <c r="T299" s="67">
        <v>0</v>
      </c>
      <c r="U299" s="55">
        <f>SUM(J299:T299)</f>
        <v>1483.3</v>
      </c>
      <c r="V299" s="34">
        <v>2016</v>
      </c>
      <c r="W299" s="4">
        <f t="shared" si="82"/>
        <v>0</v>
      </c>
      <c r="X299" s="4">
        <f t="shared" si="83"/>
        <v>0</v>
      </c>
      <c r="Y299" s="4"/>
      <c r="Z299" s="3"/>
    </row>
    <row r="300" spans="1:24" ht="38.25">
      <c r="A300" s="33" t="s">
        <v>254</v>
      </c>
      <c r="B300" s="34">
        <v>1</v>
      </c>
      <c r="C300" s="34">
        <v>2</v>
      </c>
      <c r="D300" s="34">
        <v>3</v>
      </c>
      <c r="E300" s="34">
        <v>0</v>
      </c>
      <c r="F300" s="34">
        <v>3</v>
      </c>
      <c r="G300" s="35"/>
      <c r="H300" s="54" t="s">
        <v>351</v>
      </c>
      <c r="I300" s="35" t="s">
        <v>294</v>
      </c>
      <c r="J300" s="47">
        <v>1</v>
      </c>
      <c r="K300" s="47">
        <v>5</v>
      </c>
      <c r="L300" s="47">
        <v>4</v>
      </c>
      <c r="M300" s="70">
        <v>2</v>
      </c>
      <c r="N300" s="70">
        <v>12</v>
      </c>
      <c r="O300" s="70">
        <v>1</v>
      </c>
      <c r="P300" s="70">
        <v>0</v>
      </c>
      <c r="Q300" s="70">
        <v>0</v>
      </c>
      <c r="R300" s="70">
        <v>1</v>
      </c>
      <c r="S300" s="70">
        <v>0</v>
      </c>
      <c r="T300" s="70">
        <v>0</v>
      </c>
      <c r="U300" s="117">
        <f>J300+K300+L300+M300+O300+Q300+R300+S300+T300</f>
        <v>14</v>
      </c>
      <c r="V300" s="35">
        <v>2022</v>
      </c>
      <c r="W300" s="4">
        <f t="shared" si="82"/>
        <v>-11</v>
      </c>
      <c r="X300" s="4">
        <f t="shared" si="83"/>
        <v>0</v>
      </c>
    </row>
    <row r="301" spans="1:24" ht="38.25">
      <c r="A301" s="33" t="s">
        <v>254</v>
      </c>
      <c r="B301" s="34">
        <v>1</v>
      </c>
      <c r="C301" s="34">
        <v>2</v>
      </c>
      <c r="D301" s="34">
        <v>3</v>
      </c>
      <c r="E301" s="34">
        <v>0</v>
      </c>
      <c r="F301" s="34">
        <v>3</v>
      </c>
      <c r="G301" s="35"/>
      <c r="H301" s="180" t="s">
        <v>172</v>
      </c>
      <c r="I301" s="35" t="s">
        <v>294</v>
      </c>
      <c r="J301" s="47">
        <v>1</v>
      </c>
      <c r="K301" s="47">
        <v>4</v>
      </c>
      <c r="L301" s="47">
        <v>5</v>
      </c>
      <c r="M301" s="70">
        <v>6</v>
      </c>
      <c r="N301" s="70">
        <v>2</v>
      </c>
      <c r="O301" s="70">
        <v>1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117">
        <f>J301+K301+L301+M301+O301+Q301+R301+S301+T301</f>
        <v>17</v>
      </c>
      <c r="V301" s="35">
        <v>2020</v>
      </c>
      <c r="W301" s="4">
        <f t="shared" si="82"/>
        <v>-1</v>
      </c>
      <c r="X301" s="4">
        <f t="shared" si="83"/>
        <v>0</v>
      </c>
    </row>
    <row r="302" spans="1:24" ht="38.25">
      <c r="A302" s="33" t="s">
        <v>254</v>
      </c>
      <c r="B302" s="34">
        <v>1</v>
      </c>
      <c r="C302" s="34">
        <v>2</v>
      </c>
      <c r="D302" s="34">
        <v>3</v>
      </c>
      <c r="E302" s="34">
        <v>0</v>
      </c>
      <c r="F302" s="34">
        <v>3</v>
      </c>
      <c r="G302" s="35"/>
      <c r="H302" s="180" t="s">
        <v>171</v>
      </c>
      <c r="I302" s="35" t="s">
        <v>294</v>
      </c>
      <c r="J302" s="47">
        <v>0</v>
      </c>
      <c r="K302" s="47">
        <v>4</v>
      </c>
      <c r="L302" s="47">
        <v>3</v>
      </c>
      <c r="M302" s="70">
        <v>8</v>
      </c>
      <c r="N302" s="70">
        <v>1</v>
      </c>
      <c r="O302" s="70">
        <v>0</v>
      </c>
      <c r="P302" s="70">
        <v>2</v>
      </c>
      <c r="Q302" s="70">
        <v>0</v>
      </c>
      <c r="R302" s="70">
        <v>2</v>
      </c>
      <c r="S302" s="70">
        <v>0</v>
      </c>
      <c r="T302" s="70">
        <v>0</v>
      </c>
      <c r="U302" s="117">
        <f>J302+K302+L302+M302+O302+Q302+R302+S302+T302</f>
        <v>17</v>
      </c>
      <c r="V302" s="35">
        <v>2022</v>
      </c>
      <c r="W302" s="4">
        <f t="shared" si="82"/>
        <v>-1</v>
      </c>
      <c r="X302" s="4">
        <f t="shared" si="83"/>
        <v>-2</v>
      </c>
    </row>
    <row r="303" spans="1:26" s="7" customFormat="1" ht="76.5">
      <c r="A303" s="36" t="s">
        <v>254</v>
      </c>
      <c r="B303" s="37">
        <v>1</v>
      </c>
      <c r="C303" s="37">
        <v>2</v>
      </c>
      <c r="D303" s="37">
        <v>3</v>
      </c>
      <c r="E303" s="37">
        <v>0</v>
      </c>
      <c r="F303" s="37">
        <v>4</v>
      </c>
      <c r="G303" s="37"/>
      <c r="H303" s="49" t="s">
        <v>405</v>
      </c>
      <c r="I303" s="37" t="s">
        <v>255</v>
      </c>
      <c r="J303" s="45">
        <f aca="true" t="shared" si="91" ref="J303:T303">J304+J305</f>
        <v>0</v>
      </c>
      <c r="K303" s="45">
        <f t="shared" si="91"/>
        <v>1864</v>
      </c>
      <c r="L303" s="45">
        <f t="shared" si="91"/>
        <v>2235.5</v>
      </c>
      <c r="M303" s="50">
        <f t="shared" si="91"/>
        <v>3399.7</v>
      </c>
      <c r="N303" s="50">
        <f t="shared" si="91"/>
        <v>764</v>
      </c>
      <c r="O303" s="50">
        <f t="shared" si="91"/>
        <v>417.4</v>
      </c>
      <c r="P303" s="50">
        <f t="shared" si="91"/>
        <v>764</v>
      </c>
      <c r="Q303" s="50">
        <f t="shared" si="91"/>
        <v>0</v>
      </c>
      <c r="R303" s="50">
        <f t="shared" si="91"/>
        <v>0</v>
      </c>
      <c r="S303" s="50">
        <f t="shared" si="91"/>
        <v>0</v>
      </c>
      <c r="T303" s="50">
        <f t="shared" si="91"/>
        <v>0</v>
      </c>
      <c r="U303" s="45">
        <f>J303+K303+L303+M303+O303+Q303+R303+S303+T303</f>
        <v>7916.6</v>
      </c>
      <c r="V303" s="37">
        <v>2020</v>
      </c>
      <c r="W303" s="4">
        <f t="shared" si="82"/>
        <v>-346.6</v>
      </c>
      <c r="X303" s="4">
        <f t="shared" si="83"/>
        <v>-764</v>
      </c>
      <c r="Y303" s="4"/>
      <c r="Z303" s="3"/>
    </row>
    <row r="304" spans="1:26" s="7" customFormat="1" ht="12.75">
      <c r="A304" s="33" t="s">
        <v>254</v>
      </c>
      <c r="B304" s="34">
        <v>1</v>
      </c>
      <c r="C304" s="34">
        <v>2</v>
      </c>
      <c r="D304" s="34">
        <v>3</v>
      </c>
      <c r="E304" s="34">
        <v>0</v>
      </c>
      <c r="F304" s="34">
        <v>4</v>
      </c>
      <c r="G304" s="34">
        <v>3</v>
      </c>
      <c r="H304" s="51" t="s">
        <v>256</v>
      </c>
      <c r="I304" s="34" t="s">
        <v>255</v>
      </c>
      <c r="J304" s="52">
        <v>0</v>
      </c>
      <c r="K304" s="52">
        <v>1464</v>
      </c>
      <c r="L304" s="52">
        <f>2235.545-299.6</f>
        <v>1935.9</v>
      </c>
      <c r="M304" s="67">
        <v>3086.6</v>
      </c>
      <c r="N304" s="67">
        <v>764</v>
      </c>
      <c r="O304" s="67">
        <f>417389.95/1000</f>
        <v>417.4</v>
      </c>
      <c r="P304" s="67">
        <v>764</v>
      </c>
      <c r="Q304" s="67">
        <v>0</v>
      </c>
      <c r="R304" s="67">
        <v>0</v>
      </c>
      <c r="S304" s="67">
        <v>0</v>
      </c>
      <c r="T304" s="67">
        <v>0</v>
      </c>
      <c r="U304" s="52">
        <f>J304+K304+L304+M304+O304+Q304+R304+S304+T304</f>
        <v>6903.9</v>
      </c>
      <c r="V304" s="34">
        <v>2020</v>
      </c>
      <c r="W304" s="4">
        <f t="shared" si="82"/>
        <v>-346.6</v>
      </c>
      <c r="X304" s="4">
        <f t="shared" si="83"/>
        <v>-764</v>
      </c>
      <c r="Y304" s="4"/>
      <c r="Z304" s="3"/>
    </row>
    <row r="305" spans="1:26" s="7" customFormat="1" ht="12.75">
      <c r="A305" s="33" t="s">
        <v>254</v>
      </c>
      <c r="B305" s="34">
        <v>1</v>
      </c>
      <c r="C305" s="34">
        <v>2</v>
      </c>
      <c r="D305" s="34">
        <v>3</v>
      </c>
      <c r="E305" s="34">
        <v>0</v>
      </c>
      <c r="F305" s="34">
        <v>4</v>
      </c>
      <c r="G305" s="34">
        <v>2</v>
      </c>
      <c r="H305" s="51" t="s">
        <v>257</v>
      </c>
      <c r="I305" s="34" t="s">
        <v>255</v>
      </c>
      <c r="J305" s="52">
        <v>0</v>
      </c>
      <c r="K305" s="52">
        <v>400</v>
      </c>
      <c r="L305" s="52">
        <v>299.6</v>
      </c>
      <c r="M305" s="67">
        <v>313.1</v>
      </c>
      <c r="N305" s="67">
        <v>0</v>
      </c>
      <c r="O305" s="67">
        <v>0</v>
      </c>
      <c r="P305" s="67">
        <v>0</v>
      </c>
      <c r="Q305" s="67">
        <v>0</v>
      </c>
      <c r="R305" s="67">
        <v>0</v>
      </c>
      <c r="S305" s="67">
        <v>0</v>
      </c>
      <c r="T305" s="67">
        <v>0</v>
      </c>
      <c r="U305" s="52">
        <f>SUM(J305:T305)</f>
        <v>1012.7</v>
      </c>
      <c r="V305" s="34">
        <v>2018</v>
      </c>
      <c r="W305" s="4">
        <f t="shared" si="82"/>
        <v>0</v>
      </c>
      <c r="X305" s="4">
        <f t="shared" si="83"/>
        <v>0</v>
      </c>
      <c r="Y305" s="4"/>
      <c r="Z305" s="3"/>
    </row>
    <row r="306" spans="1:24" ht="38.25">
      <c r="A306" s="33" t="s">
        <v>254</v>
      </c>
      <c r="B306" s="34">
        <v>1</v>
      </c>
      <c r="C306" s="34">
        <v>2</v>
      </c>
      <c r="D306" s="34">
        <v>3</v>
      </c>
      <c r="E306" s="34">
        <v>0</v>
      </c>
      <c r="F306" s="34">
        <v>4</v>
      </c>
      <c r="G306" s="35"/>
      <c r="H306" s="54" t="s">
        <v>352</v>
      </c>
      <c r="I306" s="35" t="s">
        <v>294</v>
      </c>
      <c r="J306" s="47">
        <v>0</v>
      </c>
      <c r="K306" s="47">
        <v>7</v>
      </c>
      <c r="L306" s="47">
        <v>8</v>
      </c>
      <c r="M306" s="70">
        <v>2</v>
      </c>
      <c r="N306" s="70">
        <v>0</v>
      </c>
      <c r="O306" s="70">
        <v>2</v>
      </c>
      <c r="P306" s="70">
        <v>5</v>
      </c>
      <c r="Q306" s="70">
        <v>0</v>
      </c>
      <c r="R306" s="70">
        <v>0</v>
      </c>
      <c r="S306" s="70">
        <v>0</v>
      </c>
      <c r="T306" s="70">
        <v>0</v>
      </c>
      <c r="U306" s="47">
        <f aca="true" t="shared" si="92" ref="U306:U316">J306+K306+L306+M306+O306+Q306+R306+S306+T306</f>
        <v>19</v>
      </c>
      <c r="V306" s="35">
        <v>2021</v>
      </c>
      <c r="W306" s="4">
        <f t="shared" si="82"/>
        <v>2</v>
      </c>
      <c r="X306" s="4">
        <f t="shared" si="83"/>
        <v>-5</v>
      </c>
    </row>
    <row r="307" spans="1:24" ht="38.25">
      <c r="A307" s="33" t="s">
        <v>254</v>
      </c>
      <c r="B307" s="34">
        <v>1</v>
      </c>
      <c r="C307" s="34">
        <v>2</v>
      </c>
      <c r="D307" s="34">
        <v>3</v>
      </c>
      <c r="E307" s="34">
        <v>0</v>
      </c>
      <c r="F307" s="34">
        <v>4</v>
      </c>
      <c r="G307" s="179"/>
      <c r="H307" s="180" t="s">
        <v>173</v>
      </c>
      <c r="I307" s="179" t="s">
        <v>294</v>
      </c>
      <c r="J307" s="118">
        <v>0</v>
      </c>
      <c r="K307" s="118">
        <v>7</v>
      </c>
      <c r="L307" s="118">
        <v>11</v>
      </c>
      <c r="M307" s="119">
        <v>17</v>
      </c>
      <c r="N307" s="119">
        <v>3</v>
      </c>
      <c r="O307" s="119">
        <v>0</v>
      </c>
      <c r="P307" s="119">
        <v>0</v>
      </c>
      <c r="Q307" s="119">
        <v>0</v>
      </c>
      <c r="R307" s="119">
        <v>0</v>
      </c>
      <c r="S307" s="119">
        <v>0</v>
      </c>
      <c r="T307" s="119">
        <v>0</v>
      </c>
      <c r="U307" s="47">
        <f t="shared" si="92"/>
        <v>35</v>
      </c>
      <c r="V307" s="35">
        <v>2020</v>
      </c>
      <c r="W307" s="4">
        <f t="shared" si="82"/>
        <v>-3</v>
      </c>
      <c r="X307" s="4">
        <f t="shared" si="83"/>
        <v>0</v>
      </c>
    </row>
    <row r="308" spans="1:26" s="7" customFormat="1" ht="63.75">
      <c r="A308" s="36" t="s">
        <v>254</v>
      </c>
      <c r="B308" s="37">
        <v>1</v>
      </c>
      <c r="C308" s="37">
        <v>2</v>
      </c>
      <c r="D308" s="37">
        <v>3</v>
      </c>
      <c r="E308" s="37">
        <v>0</v>
      </c>
      <c r="F308" s="37">
        <v>5</v>
      </c>
      <c r="G308" s="37"/>
      <c r="H308" s="49" t="s">
        <v>406</v>
      </c>
      <c r="I308" s="37" t="s">
        <v>255</v>
      </c>
      <c r="J308" s="45">
        <f aca="true" t="shared" si="93" ref="J308:T308">J309</f>
        <v>0</v>
      </c>
      <c r="K308" s="45">
        <f t="shared" si="93"/>
        <v>4730.5</v>
      </c>
      <c r="L308" s="45">
        <f t="shared" si="93"/>
        <v>7394.7</v>
      </c>
      <c r="M308" s="50">
        <f t="shared" si="93"/>
        <v>6918.6</v>
      </c>
      <c r="N308" s="50">
        <f t="shared" si="93"/>
        <v>2091.9</v>
      </c>
      <c r="O308" s="50">
        <f t="shared" si="93"/>
        <v>23548</v>
      </c>
      <c r="P308" s="50">
        <f t="shared" si="93"/>
        <v>3760</v>
      </c>
      <c r="Q308" s="50">
        <f t="shared" si="93"/>
        <v>35568</v>
      </c>
      <c r="R308" s="50">
        <f t="shared" si="93"/>
        <v>0</v>
      </c>
      <c r="S308" s="50">
        <f t="shared" si="93"/>
        <v>0</v>
      </c>
      <c r="T308" s="50">
        <f t="shared" si="93"/>
        <v>0</v>
      </c>
      <c r="U308" s="45">
        <f t="shared" si="92"/>
        <v>78159.8</v>
      </c>
      <c r="V308" s="37">
        <v>2021</v>
      </c>
      <c r="W308" s="4">
        <f t="shared" si="82"/>
        <v>21456.1</v>
      </c>
      <c r="X308" s="4">
        <f t="shared" si="83"/>
        <v>31808</v>
      </c>
      <c r="Y308" s="4"/>
      <c r="Z308" s="3"/>
    </row>
    <row r="309" spans="1:26" s="7" customFormat="1" ht="12.75">
      <c r="A309" s="33" t="s">
        <v>254</v>
      </c>
      <c r="B309" s="34">
        <v>1</v>
      </c>
      <c r="C309" s="34">
        <v>2</v>
      </c>
      <c r="D309" s="34">
        <v>3</v>
      </c>
      <c r="E309" s="34">
        <v>0</v>
      </c>
      <c r="F309" s="34">
        <v>5</v>
      </c>
      <c r="G309" s="34">
        <v>3</v>
      </c>
      <c r="H309" s="51" t="s">
        <v>256</v>
      </c>
      <c r="I309" s="34" t="s">
        <v>255</v>
      </c>
      <c r="J309" s="52">
        <v>0</v>
      </c>
      <c r="K309" s="52">
        <v>4730.5</v>
      </c>
      <c r="L309" s="52">
        <v>7394.7</v>
      </c>
      <c r="M309" s="67">
        <v>6918.6</v>
      </c>
      <c r="N309" s="67">
        <v>2091.9</v>
      </c>
      <c r="O309" s="67">
        <f>23548009/1000</f>
        <v>23548</v>
      </c>
      <c r="P309" s="67">
        <v>3760</v>
      </c>
      <c r="Q309" s="67">
        <v>35568</v>
      </c>
      <c r="R309" s="67">
        <v>0</v>
      </c>
      <c r="S309" s="67">
        <v>0</v>
      </c>
      <c r="T309" s="67">
        <v>0</v>
      </c>
      <c r="U309" s="52">
        <f t="shared" si="92"/>
        <v>78159.8</v>
      </c>
      <c r="V309" s="34">
        <v>2021</v>
      </c>
      <c r="W309" s="4">
        <f t="shared" si="82"/>
        <v>21456.1</v>
      </c>
      <c r="X309" s="4">
        <f t="shared" si="83"/>
        <v>31808</v>
      </c>
      <c r="Y309" s="4"/>
      <c r="Z309" s="3"/>
    </row>
    <row r="310" spans="1:24" ht="38.25">
      <c r="A310" s="33" t="s">
        <v>254</v>
      </c>
      <c r="B310" s="34">
        <v>1</v>
      </c>
      <c r="C310" s="34">
        <v>2</v>
      </c>
      <c r="D310" s="34">
        <v>3</v>
      </c>
      <c r="E310" s="34">
        <v>0</v>
      </c>
      <c r="F310" s="34">
        <v>5</v>
      </c>
      <c r="G310" s="35"/>
      <c r="H310" s="54" t="s">
        <v>353</v>
      </c>
      <c r="I310" s="35" t="s">
        <v>294</v>
      </c>
      <c r="J310" s="47">
        <v>0</v>
      </c>
      <c r="K310" s="47">
        <v>0</v>
      </c>
      <c r="L310" s="47">
        <v>0</v>
      </c>
      <c r="M310" s="70">
        <v>5</v>
      </c>
      <c r="N310" s="70">
        <v>3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47">
        <f t="shared" si="92"/>
        <v>5</v>
      </c>
      <c r="V310" s="35">
        <v>2020</v>
      </c>
      <c r="W310" s="4">
        <f t="shared" si="82"/>
        <v>-3</v>
      </c>
      <c r="X310" s="4">
        <f t="shared" si="83"/>
        <v>0</v>
      </c>
    </row>
    <row r="311" spans="1:24" ht="63.75">
      <c r="A311" s="33" t="s">
        <v>254</v>
      </c>
      <c r="B311" s="34">
        <v>1</v>
      </c>
      <c r="C311" s="34">
        <v>2</v>
      </c>
      <c r="D311" s="34">
        <v>3</v>
      </c>
      <c r="E311" s="34">
        <v>0</v>
      </c>
      <c r="F311" s="34">
        <v>5</v>
      </c>
      <c r="G311" s="35"/>
      <c r="H311" s="54" t="s">
        <v>0</v>
      </c>
      <c r="I311" s="35" t="s">
        <v>294</v>
      </c>
      <c r="J311" s="47">
        <v>0</v>
      </c>
      <c r="K311" s="47">
        <v>10</v>
      </c>
      <c r="L311" s="47">
        <v>10</v>
      </c>
      <c r="M311" s="70">
        <v>36</v>
      </c>
      <c r="N311" s="70">
        <v>3</v>
      </c>
      <c r="O311" s="70">
        <v>0</v>
      </c>
      <c r="P311" s="70">
        <v>0</v>
      </c>
      <c r="Q311" s="70">
        <v>1</v>
      </c>
      <c r="R311" s="70">
        <v>0</v>
      </c>
      <c r="S311" s="70">
        <v>0</v>
      </c>
      <c r="T311" s="70">
        <v>0</v>
      </c>
      <c r="U311" s="47">
        <f t="shared" si="92"/>
        <v>57</v>
      </c>
      <c r="V311" s="35">
        <v>2020</v>
      </c>
      <c r="W311" s="4">
        <f t="shared" si="82"/>
        <v>-3</v>
      </c>
      <c r="X311" s="4">
        <f t="shared" si="83"/>
        <v>1</v>
      </c>
    </row>
    <row r="312" spans="1:24" ht="51">
      <c r="A312" s="33" t="s">
        <v>254</v>
      </c>
      <c r="B312" s="34">
        <v>1</v>
      </c>
      <c r="C312" s="34">
        <v>2</v>
      </c>
      <c r="D312" s="34">
        <v>3</v>
      </c>
      <c r="E312" s="34">
        <v>0</v>
      </c>
      <c r="F312" s="34">
        <v>5</v>
      </c>
      <c r="G312" s="35"/>
      <c r="H312" s="54" t="s">
        <v>1</v>
      </c>
      <c r="I312" s="35" t="s">
        <v>294</v>
      </c>
      <c r="J312" s="47">
        <v>0</v>
      </c>
      <c r="K312" s="47">
        <v>12</v>
      </c>
      <c r="L312" s="47">
        <v>16</v>
      </c>
      <c r="M312" s="70">
        <v>68</v>
      </c>
      <c r="N312" s="70">
        <v>2</v>
      </c>
      <c r="O312" s="70">
        <v>52</v>
      </c>
      <c r="P312" s="70">
        <v>0</v>
      </c>
      <c r="Q312" s="70">
        <v>78</v>
      </c>
      <c r="R312" s="70">
        <v>0</v>
      </c>
      <c r="S312" s="70">
        <v>0</v>
      </c>
      <c r="T312" s="70">
        <v>0</v>
      </c>
      <c r="U312" s="47">
        <f t="shared" si="92"/>
        <v>226</v>
      </c>
      <c r="V312" s="35">
        <v>2020</v>
      </c>
      <c r="W312" s="4">
        <f t="shared" si="82"/>
        <v>50</v>
      </c>
      <c r="X312" s="4">
        <f t="shared" si="83"/>
        <v>78</v>
      </c>
    </row>
    <row r="313" spans="1:24" ht="76.5">
      <c r="A313" s="33" t="s">
        <v>254</v>
      </c>
      <c r="B313" s="34">
        <v>1</v>
      </c>
      <c r="C313" s="34">
        <v>2</v>
      </c>
      <c r="D313" s="34">
        <v>3</v>
      </c>
      <c r="E313" s="34">
        <v>0</v>
      </c>
      <c r="F313" s="34">
        <v>5</v>
      </c>
      <c r="G313" s="35"/>
      <c r="H313" s="54" t="s">
        <v>2</v>
      </c>
      <c r="I313" s="35" t="s">
        <v>294</v>
      </c>
      <c r="J313" s="47">
        <v>0</v>
      </c>
      <c r="K313" s="47">
        <v>0</v>
      </c>
      <c r="L313" s="47">
        <v>1</v>
      </c>
      <c r="M313" s="70">
        <v>5</v>
      </c>
      <c r="N313" s="70">
        <v>3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47">
        <f t="shared" si="92"/>
        <v>6</v>
      </c>
      <c r="V313" s="35">
        <v>2020</v>
      </c>
      <c r="W313" s="4">
        <f t="shared" si="82"/>
        <v>-3</v>
      </c>
      <c r="X313" s="4">
        <f t="shared" si="83"/>
        <v>0</v>
      </c>
    </row>
    <row r="314" spans="1:24" ht="38.25">
      <c r="A314" s="33" t="s">
        <v>254</v>
      </c>
      <c r="B314" s="34">
        <v>1</v>
      </c>
      <c r="C314" s="34">
        <v>2</v>
      </c>
      <c r="D314" s="34">
        <v>3</v>
      </c>
      <c r="E314" s="34">
        <v>0</v>
      </c>
      <c r="F314" s="34">
        <v>5</v>
      </c>
      <c r="G314" s="35"/>
      <c r="H314" s="54" t="s">
        <v>3</v>
      </c>
      <c r="I314" s="35" t="s">
        <v>294</v>
      </c>
      <c r="J314" s="47">
        <v>0</v>
      </c>
      <c r="K314" s="47">
        <v>8</v>
      </c>
      <c r="L314" s="47">
        <v>13</v>
      </c>
      <c r="M314" s="70">
        <v>19</v>
      </c>
      <c r="N314" s="70">
        <v>2</v>
      </c>
      <c r="O314" s="70">
        <v>1</v>
      </c>
      <c r="P314" s="70">
        <v>5</v>
      </c>
      <c r="Q314" s="70">
        <v>0</v>
      </c>
      <c r="R314" s="70">
        <v>0</v>
      </c>
      <c r="S314" s="70">
        <v>0</v>
      </c>
      <c r="T314" s="70">
        <v>0</v>
      </c>
      <c r="U314" s="47">
        <f t="shared" si="92"/>
        <v>41</v>
      </c>
      <c r="V314" s="35">
        <v>2021</v>
      </c>
      <c r="W314" s="4">
        <f t="shared" si="82"/>
        <v>-1</v>
      </c>
      <c r="X314" s="4">
        <f t="shared" si="83"/>
        <v>-5</v>
      </c>
    </row>
    <row r="315" spans="1:26" s="7" customFormat="1" ht="63.75">
      <c r="A315" s="36" t="s">
        <v>254</v>
      </c>
      <c r="B315" s="37">
        <v>1</v>
      </c>
      <c r="C315" s="37">
        <v>2</v>
      </c>
      <c r="D315" s="37">
        <v>3</v>
      </c>
      <c r="E315" s="37">
        <v>0</v>
      </c>
      <c r="F315" s="37">
        <v>6</v>
      </c>
      <c r="G315" s="37"/>
      <c r="H315" s="49" t="s">
        <v>407</v>
      </c>
      <c r="I315" s="37" t="s">
        <v>255</v>
      </c>
      <c r="J315" s="45">
        <f aca="true" t="shared" si="94" ref="J315:T315">J316+J317</f>
        <v>254.6</v>
      </c>
      <c r="K315" s="45">
        <f t="shared" si="94"/>
        <v>13185.2</v>
      </c>
      <c r="L315" s="45">
        <f t="shared" si="94"/>
        <v>7867.3</v>
      </c>
      <c r="M315" s="50">
        <f t="shared" si="94"/>
        <v>14411.8</v>
      </c>
      <c r="N315" s="50">
        <f t="shared" si="94"/>
        <v>11105</v>
      </c>
      <c r="O315" s="50">
        <f t="shared" si="94"/>
        <v>3208.2</v>
      </c>
      <c r="P315" s="50">
        <f t="shared" si="94"/>
        <v>9000</v>
      </c>
      <c r="Q315" s="50">
        <f t="shared" si="94"/>
        <v>10836.7</v>
      </c>
      <c r="R315" s="50">
        <f t="shared" si="94"/>
        <v>12140.5</v>
      </c>
      <c r="S315" s="50">
        <f t="shared" si="94"/>
        <v>12960</v>
      </c>
      <c r="T315" s="50">
        <f t="shared" si="94"/>
        <v>10260</v>
      </c>
      <c r="U315" s="45">
        <f t="shared" si="92"/>
        <v>85124.3</v>
      </c>
      <c r="V315" s="37">
        <v>2024</v>
      </c>
      <c r="W315" s="4">
        <f t="shared" si="82"/>
        <v>-7896.8</v>
      </c>
      <c r="X315" s="4">
        <f t="shared" si="83"/>
        <v>1836.7</v>
      </c>
      <c r="Y315" s="4"/>
      <c r="Z315" s="3"/>
    </row>
    <row r="316" spans="1:26" s="7" customFormat="1" ht="12.75">
      <c r="A316" s="33" t="s">
        <v>254</v>
      </c>
      <c r="B316" s="34">
        <v>1</v>
      </c>
      <c r="C316" s="34">
        <v>2</v>
      </c>
      <c r="D316" s="34">
        <v>3</v>
      </c>
      <c r="E316" s="34">
        <v>0</v>
      </c>
      <c r="F316" s="34">
        <v>6</v>
      </c>
      <c r="G316" s="34">
        <v>3</v>
      </c>
      <c r="H316" s="51" t="s">
        <v>256</v>
      </c>
      <c r="I316" s="34" t="s">
        <v>255</v>
      </c>
      <c r="J316" s="52">
        <f>200+54.6</f>
        <v>254.6</v>
      </c>
      <c r="K316" s="52">
        <v>13095.1</v>
      </c>
      <c r="L316" s="52">
        <v>7867.3</v>
      </c>
      <c r="M316" s="67">
        <v>14411.8</v>
      </c>
      <c r="N316" s="67">
        <v>11105</v>
      </c>
      <c r="O316" s="67">
        <f>3208238.4/1000</f>
        <v>3208.2</v>
      </c>
      <c r="P316" s="67">
        <v>9000</v>
      </c>
      <c r="Q316" s="67">
        <v>10836.7</v>
      </c>
      <c r="R316" s="67">
        <v>12140.5</v>
      </c>
      <c r="S316" s="67">
        <v>12960</v>
      </c>
      <c r="T316" s="67">
        <v>10260</v>
      </c>
      <c r="U316" s="52">
        <f t="shared" si="92"/>
        <v>85034.2</v>
      </c>
      <c r="V316" s="34">
        <v>2024</v>
      </c>
      <c r="W316" s="4">
        <f t="shared" si="82"/>
        <v>-7896.8</v>
      </c>
      <c r="X316" s="4">
        <f t="shared" si="83"/>
        <v>1836.7</v>
      </c>
      <c r="Y316" s="4"/>
      <c r="Z316" s="3"/>
    </row>
    <row r="317" spans="1:26" s="7" customFormat="1" ht="12.75">
      <c r="A317" s="33" t="s">
        <v>254</v>
      </c>
      <c r="B317" s="34">
        <v>1</v>
      </c>
      <c r="C317" s="34">
        <v>2</v>
      </c>
      <c r="D317" s="34">
        <v>3</v>
      </c>
      <c r="E317" s="34">
        <v>0</v>
      </c>
      <c r="F317" s="34">
        <v>6</v>
      </c>
      <c r="G317" s="34">
        <v>2</v>
      </c>
      <c r="H317" s="51" t="s">
        <v>257</v>
      </c>
      <c r="I317" s="34" t="s">
        <v>255</v>
      </c>
      <c r="J317" s="52">
        <v>0</v>
      </c>
      <c r="K317" s="52">
        <v>90.1</v>
      </c>
      <c r="L317" s="52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52">
        <f>SUM(J317:T317)</f>
        <v>90.1</v>
      </c>
      <c r="V317" s="34">
        <v>2017</v>
      </c>
      <c r="W317" s="4">
        <f t="shared" si="82"/>
        <v>0</v>
      </c>
      <c r="X317" s="4">
        <f t="shared" si="83"/>
        <v>0</v>
      </c>
      <c r="Y317" s="4"/>
      <c r="Z317" s="3"/>
    </row>
    <row r="318" spans="1:24" ht="51">
      <c r="A318" s="33" t="s">
        <v>254</v>
      </c>
      <c r="B318" s="34">
        <v>1</v>
      </c>
      <c r="C318" s="34">
        <v>2</v>
      </c>
      <c r="D318" s="34">
        <v>3</v>
      </c>
      <c r="E318" s="34">
        <v>0</v>
      </c>
      <c r="F318" s="34">
        <v>6</v>
      </c>
      <c r="G318" s="35"/>
      <c r="H318" s="54" t="s">
        <v>4</v>
      </c>
      <c r="I318" s="35" t="s">
        <v>294</v>
      </c>
      <c r="J318" s="47">
        <v>0</v>
      </c>
      <c r="K318" s="47">
        <v>5</v>
      </c>
      <c r="L318" s="117">
        <v>2</v>
      </c>
      <c r="M318" s="70">
        <v>1</v>
      </c>
      <c r="N318" s="70">
        <v>4</v>
      </c>
      <c r="O318" s="70">
        <v>2</v>
      </c>
      <c r="P318" s="70">
        <v>3</v>
      </c>
      <c r="Q318" s="70">
        <v>0</v>
      </c>
      <c r="R318" s="70">
        <v>0</v>
      </c>
      <c r="S318" s="70">
        <v>0</v>
      </c>
      <c r="T318" s="70">
        <v>0</v>
      </c>
      <c r="U318" s="47">
        <f>J318+K318+L318+M318+O318+Q318+R318+S318+T318</f>
        <v>10</v>
      </c>
      <c r="V318" s="35">
        <v>2021</v>
      </c>
      <c r="W318" s="4">
        <f t="shared" si="82"/>
        <v>-2</v>
      </c>
      <c r="X318" s="4">
        <f t="shared" si="83"/>
        <v>-3</v>
      </c>
    </row>
    <row r="319" spans="1:24" ht="51">
      <c r="A319" s="33" t="s">
        <v>254</v>
      </c>
      <c r="B319" s="34">
        <v>1</v>
      </c>
      <c r="C319" s="34">
        <v>2</v>
      </c>
      <c r="D319" s="34">
        <v>3</v>
      </c>
      <c r="E319" s="34">
        <v>0</v>
      </c>
      <c r="F319" s="34">
        <v>6</v>
      </c>
      <c r="G319" s="35"/>
      <c r="H319" s="54" t="s">
        <v>5</v>
      </c>
      <c r="I319" s="35" t="s">
        <v>294</v>
      </c>
      <c r="J319" s="117">
        <v>2</v>
      </c>
      <c r="K319" s="117">
        <v>9</v>
      </c>
      <c r="L319" s="117">
        <v>13</v>
      </c>
      <c r="M319" s="103">
        <v>12</v>
      </c>
      <c r="N319" s="103">
        <v>5</v>
      </c>
      <c r="O319" s="103">
        <v>0</v>
      </c>
      <c r="P319" s="103">
        <v>2</v>
      </c>
      <c r="Q319" s="103">
        <v>0</v>
      </c>
      <c r="R319" s="103">
        <v>0</v>
      </c>
      <c r="S319" s="103">
        <v>0</v>
      </c>
      <c r="T319" s="103">
        <v>0</v>
      </c>
      <c r="U319" s="47">
        <f aca="true" t="shared" si="95" ref="U319:U326">J319+K319+L319+M319+O319+Q319+R319+S319+T319</f>
        <v>36</v>
      </c>
      <c r="V319" s="35">
        <v>2021</v>
      </c>
      <c r="W319" s="4">
        <f t="shared" si="82"/>
        <v>-5</v>
      </c>
      <c r="X319" s="4">
        <f t="shared" si="83"/>
        <v>-2</v>
      </c>
    </row>
    <row r="320" spans="1:24" ht="51">
      <c r="A320" s="33" t="s">
        <v>254</v>
      </c>
      <c r="B320" s="34">
        <v>1</v>
      </c>
      <c r="C320" s="34">
        <v>2</v>
      </c>
      <c r="D320" s="34">
        <v>3</v>
      </c>
      <c r="E320" s="34">
        <v>0</v>
      </c>
      <c r="F320" s="34">
        <v>6</v>
      </c>
      <c r="G320" s="35"/>
      <c r="H320" s="54" t="s">
        <v>6</v>
      </c>
      <c r="I320" s="35" t="s">
        <v>294</v>
      </c>
      <c r="J320" s="47">
        <v>0</v>
      </c>
      <c r="K320" s="47">
        <v>2</v>
      </c>
      <c r="L320" s="47">
        <v>1</v>
      </c>
      <c r="M320" s="70">
        <v>2</v>
      </c>
      <c r="N320" s="70">
        <v>0</v>
      </c>
      <c r="O320" s="70">
        <v>0</v>
      </c>
      <c r="P320" s="70">
        <v>0</v>
      </c>
      <c r="Q320" s="70">
        <v>3</v>
      </c>
      <c r="R320" s="70">
        <v>3</v>
      </c>
      <c r="S320" s="70">
        <v>0</v>
      </c>
      <c r="T320" s="70">
        <v>0</v>
      </c>
      <c r="U320" s="47">
        <f t="shared" si="95"/>
        <v>11</v>
      </c>
      <c r="V320" s="35">
        <v>2022</v>
      </c>
      <c r="W320" s="4">
        <f t="shared" si="82"/>
        <v>0</v>
      </c>
      <c r="X320" s="4">
        <f t="shared" si="83"/>
        <v>3</v>
      </c>
    </row>
    <row r="321" spans="1:24" ht="38.25">
      <c r="A321" s="33" t="s">
        <v>254</v>
      </c>
      <c r="B321" s="34">
        <v>1</v>
      </c>
      <c r="C321" s="34">
        <v>2</v>
      </c>
      <c r="D321" s="34">
        <v>3</v>
      </c>
      <c r="E321" s="34">
        <v>0</v>
      </c>
      <c r="F321" s="34">
        <v>6</v>
      </c>
      <c r="G321" s="35"/>
      <c r="H321" s="54" t="s">
        <v>7</v>
      </c>
      <c r="I321" s="35" t="s">
        <v>294</v>
      </c>
      <c r="J321" s="47">
        <v>0</v>
      </c>
      <c r="K321" s="47">
        <v>44</v>
      </c>
      <c r="L321" s="47">
        <v>17</v>
      </c>
      <c r="M321" s="70">
        <v>9</v>
      </c>
      <c r="N321" s="70">
        <v>2</v>
      </c>
      <c r="O321" s="70">
        <v>0</v>
      </c>
      <c r="P321" s="70">
        <v>2</v>
      </c>
      <c r="Q321" s="70">
        <v>0</v>
      </c>
      <c r="R321" s="70">
        <v>4</v>
      </c>
      <c r="S321" s="70">
        <v>0</v>
      </c>
      <c r="T321" s="70">
        <v>0</v>
      </c>
      <c r="U321" s="47">
        <f t="shared" si="95"/>
        <v>74</v>
      </c>
      <c r="V321" s="35">
        <v>2022</v>
      </c>
      <c r="W321" s="4">
        <f t="shared" si="82"/>
        <v>-2</v>
      </c>
      <c r="X321" s="4">
        <f t="shared" si="83"/>
        <v>-2</v>
      </c>
    </row>
    <row r="322" spans="1:24" ht="51">
      <c r="A322" s="33" t="s">
        <v>254</v>
      </c>
      <c r="B322" s="34">
        <v>1</v>
      </c>
      <c r="C322" s="34">
        <v>2</v>
      </c>
      <c r="D322" s="34">
        <v>3</v>
      </c>
      <c r="E322" s="34">
        <v>0</v>
      </c>
      <c r="F322" s="34">
        <v>6</v>
      </c>
      <c r="G322" s="35"/>
      <c r="H322" s="54" t="s">
        <v>8</v>
      </c>
      <c r="I322" s="35" t="s">
        <v>294</v>
      </c>
      <c r="J322" s="47">
        <v>0</v>
      </c>
      <c r="K322" s="47">
        <v>4</v>
      </c>
      <c r="L322" s="47">
        <v>7</v>
      </c>
      <c r="M322" s="70">
        <v>10</v>
      </c>
      <c r="N322" s="70">
        <v>2</v>
      </c>
      <c r="O322" s="70">
        <v>0</v>
      </c>
      <c r="P322" s="70">
        <v>0</v>
      </c>
      <c r="Q322" s="70">
        <v>0</v>
      </c>
      <c r="R322" s="70">
        <v>2</v>
      </c>
      <c r="S322" s="70">
        <v>0</v>
      </c>
      <c r="T322" s="70">
        <v>0</v>
      </c>
      <c r="U322" s="47">
        <f t="shared" si="95"/>
        <v>23</v>
      </c>
      <c r="V322" s="35">
        <v>2022</v>
      </c>
      <c r="W322" s="4">
        <f t="shared" si="82"/>
        <v>-2</v>
      </c>
      <c r="X322" s="4">
        <f t="shared" si="83"/>
        <v>0</v>
      </c>
    </row>
    <row r="323" spans="1:24" ht="51">
      <c r="A323" s="33" t="s">
        <v>254</v>
      </c>
      <c r="B323" s="34">
        <v>1</v>
      </c>
      <c r="C323" s="34">
        <v>2</v>
      </c>
      <c r="D323" s="34">
        <v>3</v>
      </c>
      <c r="E323" s="34">
        <v>0</v>
      </c>
      <c r="F323" s="34">
        <v>6</v>
      </c>
      <c r="G323" s="35"/>
      <c r="H323" s="54" t="s">
        <v>9</v>
      </c>
      <c r="I323" s="35" t="s">
        <v>294</v>
      </c>
      <c r="J323" s="47">
        <v>0</v>
      </c>
      <c r="K323" s="47">
        <v>1</v>
      </c>
      <c r="L323" s="47">
        <v>1</v>
      </c>
      <c r="M323" s="70">
        <v>3</v>
      </c>
      <c r="N323" s="70">
        <v>2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47">
        <f t="shared" si="95"/>
        <v>5</v>
      </c>
      <c r="V323" s="35">
        <v>2020</v>
      </c>
      <c r="W323" s="4">
        <f t="shared" si="82"/>
        <v>-2</v>
      </c>
      <c r="X323" s="4">
        <f t="shared" si="83"/>
        <v>0</v>
      </c>
    </row>
    <row r="324" spans="1:24" ht="38.25">
      <c r="A324" s="33" t="s">
        <v>254</v>
      </c>
      <c r="B324" s="34">
        <v>1</v>
      </c>
      <c r="C324" s="34">
        <v>2</v>
      </c>
      <c r="D324" s="34">
        <v>3</v>
      </c>
      <c r="E324" s="34">
        <v>0</v>
      </c>
      <c r="F324" s="34">
        <v>6</v>
      </c>
      <c r="G324" s="35"/>
      <c r="H324" s="54" t="s">
        <v>10</v>
      </c>
      <c r="I324" s="35" t="s">
        <v>294</v>
      </c>
      <c r="J324" s="47">
        <v>0</v>
      </c>
      <c r="K324" s="47">
        <v>0</v>
      </c>
      <c r="L324" s="47">
        <v>6</v>
      </c>
      <c r="M324" s="70">
        <v>0</v>
      </c>
      <c r="N324" s="70">
        <v>2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47">
        <f t="shared" si="95"/>
        <v>6</v>
      </c>
      <c r="V324" s="35">
        <v>2020</v>
      </c>
      <c r="W324" s="4">
        <f t="shared" si="82"/>
        <v>-2</v>
      </c>
      <c r="X324" s="4">
        <f t="shared" si="83"/>
        <v>0</v>
      </c>
    </row>
    <row r="325" spans="1:24" ht="38.25">
      <c r="A325" s="33" t="s">
        <v>254</v>
      </c>
      <c r="B325" s="34">
        <v>1</v>
      </c>
      <c r="C325" s="34">
        <v>2</v>
      </c>
      <c r="D325" s="34">
        <v>3</v>
      </c>
      <c r="E325" s="34">
        <v>0</v>
      </c>
      <c r="F325" s="34">
        <v>6</v>
      </c>
      <c r="G325" s="35"/>
      <c r="H325" s="54" t="s">
        <v>11</v>
      </c>
      <c r="I325" s="35" t="s">
        <v>294</v>
      </c>
      <c r="J325" s="47">
        <v>0</v>
      </c>
      <c r="K325" s="47">
        <v>0</v>
      </c>
      <c r="L325" s="47">
        <v>0</v>
      </c>
      <c r="M325" s="70">
        <v>0</v>
      </c>
      <c r="N325" s="70">
        <v>4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47">
        <f t="shared" si="95"/>
        <v>0</v>
      </c>
      <c r="V325" s="35">
        <v>2020</v>
      </c>
      <c r="W325" s="4">
        <f t="shared" si="82"/>
        <v>-4</v>
      </c>
      <c r="X325" s="4">
        <f t="shared" si="83"/>
        <v>0</v>
      </c>
    </row>
    <row r="326" spans="1:24" ht="38.25">
      <c r="A326" s="33" t="s">
        <v>254</v>
      </c>
      <c r="B326" s="34">
        <v>1</v>
      </c>
      <c r="C326" s="34">
        <v>2</v>
      </c>
      <c r="D326" s="34">
        <v>3</v>
      </c>
      <c r="E326" s="34">
        <v>0</v>
      </c>
      <c r="F326" s="34">
        <v>6</v>
      </c>
      <c r="G326" s="35"/>
      <c r="H326" s="54" t="s">
        <v>231</v>
      </c>
      <c r="I326" s="35" t="s">
        <v>294</v>
      </c>
      <c r="J326" s="47">
        <v>0</v>
      </c>
      <c r="K326" s="47">
        <v>0</v>
      </c>
      <c r="L326" s="47">
        <v>0</v>
      </c>
      <c r="M326" s="70">
        <v>0</v>
      </c>
      <c r="N326" s="70">
        <v>0</v>
      </c>
      <c r="O326" s="70">
        <v>6</v>
      </c>
      <c r="P326" s="70">
        <v>0</v>
      </c>
      <c r="Q326" s="70">
        <v>7</v>
      </c>
      <c r="R326" s="70">
        <v>0</v>
      </c>
      <c r="S326" s="70">
        <v>50</v>
      </c>
      <c r="T326" s="70">
        <v>38</v>
      </c>
      <c r="U326" s="47">
        <f t="shared" si="95"/>
        <v>101</v>
      </c>
      <c r="V326" s="35">
        <v>2024</v>
      </c>
      <c r="W326" s="4">
        <f t="shared" si="82"/>
        <v>6</v>
      </c>
      <c r="X326" s="4">
        <f t="shared" si="83"/>
        <v>7</v>
      </c>
    </row>
    <row r="327" spans="1:26" s="7" customFormat="1" ht="38.25">
      <c r="A327" s="36" t="s">
        <v>254</v>
      </c>
      <c r="B327" s="37">
        <v>1</v>
      </c>
      <c r="C327" s="37">
        <v>2</v>
      </c>
      <c r="D327" s="37">
        <v>3</v>
      </c>
      <c r="E327" s="37">
        <v>0</v>
      </c>
      <c r="F327" s="37">
        <v>7</v>
      </c>
      <c r="G327" s="37"/>
      <c r="H327" s="49" t="s">
        <v>408</v>
      </c>
      <c r="I327" s="37" t="s">
        <v>255</v>
      </c>
      <c r="J327" s="45">
        <f aca="true" t="shared" si="96" ref="J327:T327">J328+J329</f>
        <v>5043</v>
      </c>
      <c r="K327" s="45">
        <f t="shared" si="96"/>
        <v>7458.1</v>
      </c>
      <c r="L327" s="45">
        <f t="shared" si="96"/>
        <v>32753.2</v>
      </c>
      <c r="M327" s="50">
        <f t="shared" si="96"/>
        <v>38602.4</v>
      </c>
      <c r="N327" s="50">
        <f t="shared" si="96"/>
        <v>3850</v>
      </c>
      <c r="O327" s="50">
        <f t="shared" si="96"/>
        <v>21998.7</v>
      </c>
      <c r="P327" s="50">
        <f t="shared" si="96"/>
        <v>3850</v>
      </c>
      <c r="Q327" s="50">
        <f t="shared" si="96"/>
        <v>3405.9</v>
      </c>
      <c r="R327" s="50">
        <f t="shared" si="96"/>
        <v>24786</v>
      </c>
      <c r="S327" s="50">
        <f t="shared" si="96"/>
        <v>0</v>
      </c>
      <c r="T327" s="50">
        <f t="shared" si="96"/>
        <v>0</v>
      </c>
      <c r="U327" s="45">
        <f>J327+K327+L327+M327+O327+Q327+R327+S327+T327</f>
        <v>134047.3</v>
      </c>
      <c r="V327" s="37">
        <v>2022</v>
      </c>
      <c r="W327" s="4">
        <f t="shared" si="82"/>
        <v>18148.7</v>
      </c>
      <c r="X327" s="4">
        <f t="shared" si="83"/>
        <v>-444.1</v>
      </c>
      <c r="Y327" s="4"/>
      <c r="Z327" s="3"/>
    </row>
    <row r="328" spans="1:25" ht="12.75">
      <c r="A328" s="33" t="s">
        <v>254</v>
      </c>
      <c r="B328" s="34">
        <v>1</v>
      </c>
      <c r="C328" s="34">
        <v>2</v>
      </c>
      <c r="D328" s="34">
        <v>3</v>
      </c>
      <c r="E328" s="34">
        <v>0</v>
      </c>
      <c r="F328" s="34">
        <v>7</v>
      </c>
      <c r="G328" s="34">
        <v>3</v>
      </c>
      <c r="H328" s="51" t="s">
        <v>256</v>
      </c>
      <c r="I328" s="35" t="s">
        <v>255</v>
      </c>
      <c r="J328" s="52">
        <f>4060+100+70+537.7+275.3</f>
        <v>5043</v>
      </c>
      <c r="K328" s="52">
        <v>6958.1</v>
      </c>
      <c r="L328" s="52">
        <f>32753.248-150</f>
        <v>32603.2</v>
      </c>
      <c r="M328" s="67">
        <v>37878.6</v>
      </c>
      <c r="N328" s="67">
        <v>3850</v>
      </c>
      <c r="O328" s="67">
        <f>21998724.2/1000</f>
        <v>21998.7</v>
      </c>
      <c r="P328" s="67">
        <v>3850</v>
      </c>
      <c r="Q328" s="67">
        <v>3405.9</v>
      </c>
      <c r="R328" s="67">
        <v>24786</v>
      </c>
      <c r="S328" s="67">
        <v>0</v>
      </c>
      <c r="T328" s="67">
        <v>0</v>
      </c>
      <c r="U328" s="52">
        <f>J328+K328+L328+M328+O328+Q328+R328+S328+T328</f>
        <v>132673.5</v>
      </c>
      <c r="V328" s="34">
        <v>2022</v>
      </c>
      <c r="W328" s="4">
        <f t="shared" si="82"/>
        <v>18148.7</v>
      </c>
      <c r="X328" s="4">
        <f t="shared" si="83"/>
        <v>-444.1</v>
      </c>
      <c r="Y328" s="4"/>
    </row>
    <row r="329" spans="1:25" ht="12.75">
      <c r="A329" s="33" t="s">
        <v>254</v>
      </c>
      <c r="B329" s="34">
        <v>1</v>
      </c>
      <c r="C329" s="34">
        <v>2</v>
      </c>
      <c r="D329" s="34">
        <v>3</v>
      </c>
      <c r="E329" s="34">
        <v>0</v>
      </c>
      <c r="F329" s="34">
        <v>7</v>
      </c>
      <c r="G329" s="34">
        <v>2</v>
      </c>
      <c r="H329" s="51" t="s">
        <v>257</v>
      </c>
      <c r="I329" s="35" t="s">
        <v>255</v>
      </c>
      <c r="J329" s="52">
        <v>0</v>
      </c>
      <c r="K329" s="52">
        <v>500</v>
      </c>
      <c r="L329" s="52">
        <v>150</v>
      </c>
      <c r="M329" s="67">
        <v>723.8</v>
      </c>
      <c r="N329" s="67">
        <v>0</v>
      </c>
      <c r="O329" s="67">
        <v>0</v>
      </c>
      <c r="P329" s="67">
        <v>0</v>
      </c>
      <c r="Q329" s="67">
        <v>0</v>
      </c>
      <c r="R329" s="67">
        <v>0</v>
      </c>
      <c r="S329" s="67">
        <v>0</v>
      </c>
      <c r="T329" s="67">
        <v>0</v>
      </c>
      <c r="U329" s="52">
        <f>J329+K329+L329+M329+O329+Q329+R329+S329+T329</f>
        <v>1373.8</v>
      </c>
      <c r="V329" s="34">
        <v>2018</v>
      </c>
      <c r="W329" s="4">
        <f aca="true" t="shared" si="97" ref="W329:W392">O329-N329</f>
        <v>0</v>
      </c>
      <c r="X329" s="4">
        <f aca="true" t="shared" si="98" ref="X329:X392">Q329-P329</f>
        <v>0</v>
      </c>
      <c r="Y329" s="4"/>
    </row>
    <row r="330" spans="1:24" ht="38.25">
      <c r="A330" s="33" t="s">
        <v>254</v>
      </c>
      <c r="B330" s="34">
        <v>1</v>
      </c>
      <c r="C330" s="34">
        <v>2</v>
      </c>
      <c r="D330" s="34">
        <v>3</v>
      </c>
      <c r="E330" s="34">
        <v>0</v>
      </c>
      <c r="F330" s="34">
        <v>7</v>
      </c>
      <c r="G330" s="35"/>
      <c r="H330" s="54" t="s">
        <v>12</v>
      </c>
      <c r="I330" s="35" t="s">
        <v>329</v>
      </c>
      <c r="J330" s="40">
        <f>1270+40+46.9+89+147.3+191.4+96+80.7</f>
        <v>1961.3</v>
      </c>
      <c r="K330" s="40">
        <v>2452</v>
      </c>
      <c r="L330" s="40">
        <f>8178.7+0.5</f>
        <v>8179.2</v>
      </c>
      <c r="M330" s="41">
        <v>9415.5</v>
      </c>
      <c r="N330" s="41">
        <v>1069.4</v>
      </c>
      <c r="O330" s="41">
        <v>4888.6</v>
      </c>
      <c r="P330" s="41">
        <v>875</v>
      </c>
      <c r="Q330" s="41">
        <v>756.9</v>
      </c>
      <c r="R330" s="41">
        <v>5508</v>
      </c>
      <c r="S330" s="41">
        <v>0</v>
      </c>
      <c r="T330" s="41">
        <v>0</v>
      </c>
      <c r="U330" s="40">
        <f>J330+K330+L330+M330+O330+Q330+R330+S330+T330</f>
        <v>33161.5</v>
      </c>
      <c r="V330" s="35">
        <v>2022</v>
      </c>
      <c r="W330" s="4">
        <f t="shared" si="97"/>
        <v>3819.2</v>
      </c>
      <c r="X330" s="4">
        <f t="shared" si="98"/>
        <v>-118.1</v>
      </c>
    </row>
    <row r="331" spans="1:26" s="7" customFormat="1" ht="25.5">
      <c r="A331" s="158" t="s">
        <v>254</v>
      </c>
      <c r="B331" s="89">
        <v>1</v>
      </c>
      <c r="C331" s="89">
        <v>3</v>
      </c>
      <c r="D331" s="89">
        <v>0</v>
      </c>
      <c r="E331" s="89">
        <v>0</v>
      </c>
      <c r="F331" s="89">
        <v>0</v>
      </c>
      <c r="G331" s="89"/>
      <c r="H331" s="159" t="s">
        <v>131</v>
      </c>
      <c r="I331" s="89" t="s">
        <v>255</v>
      </c>
      <c r="J331" s="75">
        <f aca="true" t="shared" si="99" ref="J331:T331">J332+J333</f>
        <v>98867</v>
      </c>
      <c r="K331" s="75">
        <f t="shared" si="99"/>
        <v>102623.5</v>
      </c>
      <c r="L331" s="75">
        <f t="shared" si="99"/>
        <v>137472.9</v>
      </c>
      <c r="M331" s="62">
        <f t="shared" si="99"/>
        <v>143223.7</v>
      </c>
      <c r="N331" s="62">
        <f>N332+N333</f>
        <v>139240.9</v>
      </c>
      <c r="O331" s="62">
        <f>O332+O333</f>
        <v>125562.6</v>
      </c>
      <c r="P331" s="62">
        <f>P332+P333</f>
        <v>102693.5</v>
      </c>
      <c r="Q331" s="62">
        <f t="shared" si="99"/>
        <v>123458.8</v>
      </c>
      <c r="R331" s="62">
        <f t="shared" si="99"/>
        <v>118831.1</v>
      </c>
      <c r="S331" s="62">
        <f t="shared" si="99"/>
        <v>121521.3</v>
      </c>
      <c r="T331" s="62">
        <f t="shared" si="99"/>
        <v>120286.7</v>
      </c>
      <c r="U331" s="75">
        <f aca="true" t="shared" si="100" ref="U331:U336">J331+K331+L331+M331+O331+Q331+R331+S331+T331</f>
        <v>1091847.6</v>
      </c>
      <c r="V331" s="89">
        <v>2024</v>
      </c>
      <c r="W331" s="4">
        <f t="shared" si="97"/>
        <v>-13678.3</v>
      </c>
      <c r="X331" s="4">
        <f t="shared" si="98"/>
        <v>20765.3</v>
      </c>
      <c r="Y331" s="4"/>
      <c r="Z331" s="3"/>
    </row>
    <row r="332" spans="1:26" s="7" customFormat="1" ht="12.75">
      <c r="A332" s="33" t="s">
        <v>254</v>
      </c>
      <c r="B332" s="34">
        <v>1</v>
      </c>
      <c r="C332" s="34">
        <v>3</v>
      </c>
      <c r="D332" s="34">
        <v>0</v>
      </c>
      <c r="E332" s="34">
        <v>0</v>
      </c>
      <c r="F332" s="34">
        <v>0</v>
      </c>
      <c r="G332" s="34">
        <v>3</v>
      </c>
      <c r="H332" s="51" t="s">
        <v>256</v>
      </c>
      <c r="I332" s="34" t="s">
        <v>255</v>
      </c>
      <c r="J332" s="52">
        <f>J335+J350+J365+J385+J403</f>
        <v>98867</v>
      </c>
      <c r="K332" s="52">
        <f>K335+K350+K365+K385+K403</f>
        <v>102432.2</v>
      </c>
      <c r="L332" s="52">
        <f>L335+L350+L365+L385+L403</f>
        <v>133585.7</v>
      </c>
      <c r="M332" s="67">
        <f>M335+M350+M365+M385+M403</f>
        <v>142604.3</v>
      </c>
      <c r="N332" s="67">
        <f aca="true" t="shared" si="101" ref="N332:T332">N335+N350+N365+N385+N403</f>
        <v>139240.9</v>
      </c>
      <c r="O332" s="67">
        <f t="shared" si="101"/>
        <v>125562.6</v>
      </c>
      <c r="P332" s="67">
        <f t="shared" si="101"/>
        <v>102693.5</v>
      </c>
      <c r="Q332" s="67">
        <f t="shared" si="101"/>
        <v>123458.8</v>
      </c>
      <c r="R332" s="67">
        <f t="shared" si="101"/>
        <v>118831.1</v>
      </c>
      <c r="S332" s="67">
        <f t="shared" si="101"/>
        <v>121521.3</v>
      </c>
      <c r="T332" s="67">
        <f t="shared" si="101"/>
        <v>120286.7</v>
      </c>
      <c r="U332" s="52">
        <f t="shared" si="100"/>
        <v>1087149.7</v>
      </c>
      <c r="V332" s="124">
        <v>2024</v>
      </c>
      <c r="W332" s="4">
        <f t="shared" si="97"/>
        <v>-13678.3</v>
      </c>
      <c r="X332" s="4">
        <f t="shared" si="98"/>
        <v>20765.3</v>
      </c>
      <c r="Y332" s="4"/>
      <c r="Z332" s="3"/>
    </row>
    <row r="333" spans="1:26" s="7" customFormat="1" ht="12.75">
      <c r="A333" s="33" t="s">
        <v>254</v>
      </c>
      <c r="B333" s="34">
        <v>1</v>
      </c>
      <c r="C333" s="34">
        <v>3</v>
      </c>
      <c r="D333" s="34">
        <v>0</v>
      </c>
      <c r="E333" s="34">
        <v>0</v>
      </c>
      <c r="F333" s="34">
        <v>0</v>
      </c>
      <c r="G333" s="34">
        <v>2</v>
      </c>
      <c r="H333" s="51" t="s">
        <v>257</v>
      </c>
      <c r="I333" s="34" t="s">
        <v>255</v>
      </c>
      <c r="J333" s="52">
        <f>J336+J351</f>
        <v>0</v>
      </c>
      <c r="K333" s="52">
        <f>K336+K351</f>
        <v>191.3</v>
      </c>
      <c r="L333" s="52">
        <f>L336+L351</f>
        <v>3887.2</v>
      </c>
      <c r="M333" s="67">
        <f>M336+M351+M386</f>
        <v>619.4</v>
      </c>
      <c r="N333" s="67">
        <f aca="true" t="shared" si="102" ref="N333:T333">N336+N351+N386</f>
        <v>0</v>
      </c>
      <c r="O333" s="67">
        <f t="shared" si="102"/>
        <v>0</v>
      </c>
      <c r="P333" s="67">
        <f t="shared" si="102"/>
        <v>0</v>
      </c>
      <c r="Q333" s="67">
        <f t="shared" si="102"/>
        <v>0</v>
      </c>
      <c r="R333" s="67">
        <f t="shared" si="102"/>
        <v>0</v>
      </c>
      <c r="S333" s="67">
        <f t="shared" si="102"/>
        <v>0</v>
      </c>
      <c r="T333" s="67">
        <f t="shared" si="102"/>
        <v>0</v>
      </c>
      <c r="U333" s="52">
        <f t="shared" si="100"/>
        <v>4697.9</v>
      </c>
      <c r="V333" s="34">
        <v>2018</v>
      </c>
      <c r="W333" s="4">
        <f t="shared" si="97"/>
        <v>0</v>
      </c>
      <c r="X333" s="4">
        <f t="shared" si="98"/>
        <v>0</v>
      </c>
      <c r="Y333" s="4"/>
      <c r="Z333" s="3"/>
    </row>
    <row r="334" spans="1:26" s="7" customFormat="1" ht="51">
      <c r="A334" s="31" t="s">
        <v>254</v>
      </c>
      <c r="B334" s="32">
        <v>1</v>
      </c>
      <c r="C334" s="32">
        <v>3</v>
      </c>
      <c r="D334" s="32">
        <v>1</v>
      </c>
      <c r="E334" s="32">
        <v>0</v>
      </c>
      <c r="F334" s="32">
        <v>0</v>
      </c>
      <c r="G334" s="32"/>
      <c r="H334" s="30" t="s">
        <v>13</v>
      </c>
      <c r="I334" s="32" t="s">
        <v>255</v>
      </c>
      <c r="J334" s="68">
        <f aca="true" t="shared" si="103" ref="J334:T334">J335+J336</f>
        <v>77831.5</v>
      </c>
      <c r="K334" s="68">
        <f t="shared" si="103"/>
        <v>71342</v>
      </c>
      <c r="L334" s="68">
        <f t="shared" si="103"/>
        <v>76243</v>
      </c>
      <c r="M334" s="64">
        <f t="shared" si="103"/>
        <v>75924.6</v>
      </c>
      <c r="N334" s="64">
        <f>N335+N336</f>
        <v>80625.5</v>
      </c>
      <c r="O334" s="64">
        <f t="shared" si="103"/>
        <v>81248</v>
      </c>
      <c r="P334" s="64">
        <f>P335+P336</f>
        <v>83369.4</v>
      </c>
      <c r="Q334" s="64">
        <f t="shared" si="103"/>
        <v>82046.3</v>
      </c>
      <c r="R334" s="64">
        <f t="shared" si="103"/>
        <v>82187.1</v>
      </c>
      <c r="S334" s="64">
        <f t="shared" si="103"/>
        <v>82187.1</v>
      </c>
      <c r="T334" s="64">
        <f t="shared" si="103"/>
        <v>82187.1</v>
      </c>
      <c r="U334" s="68">
        <f t="shared" si="100"/>
        <v>711196.7</v>
      </c>
      <c r="V334" s="32">
        <v>2024</v>
      </c>
      <c r="W334" s="4">
        <f t="shared" si="97"/>
        <v>622.5</v>
      </c>
      <c r="X334" s="4">
        <f t="shared" si="98"/>
        <v>-1323.1</v>
      </c>
      <c r="Y334" s="4"/>
      <c r="Z334" s="3"/>
    </row>
    <row r="335" spans="1:26" s="7" customFormat="1" ht="12.75">
      <c r="A335" s="33" t="s">
        <v>254</v>
      </c>
      <c r="B335" s="34">
        <v>1</v>
      </c>
      <c r="C335" s="34">
        <v>3</v>
      </c>
      <c r="D335" s="34">
        <v>1</v>
      </c>
      <c r="E335" s="34">
        <v>0</v>
      </c>
      <c r="F335" s="34">
        <v>0</v>
      </c>
      <c r="G335" s="34">
        <v>3</v>
      </c>
      <c r="H335" s="51" t="s">
        <v>256</v>
      </c>
      <c r="I335" s="34" t="s">
        <v>255</v>
      </c>
      <c r="J335" s="52">
        <f aca="true" t="shared" si="104" ref="J335:L336">J342+J346</f>
        <v>77831.5</v>
      </c>
      <c r="K335" s="52">
        <f t="shared" si="104"/>
        <v>71342</v>
      </c>
      <c r="L335" s="52">
        <f t="shared" si="104"/>
        <v>72492.5</v>
      </c>
      <c r="M335" s="67">
        <f aca="true" t="shared" si="105" ref="M335:T336">M342+M346</f>
        <v>75924.6</v>
      </c>
      <c r="N335" s="67">
        <f>N342+N346</f>
        <v>80625.5</v>
      </c>
      <c r="O335" s="67">
        <f t="shared" si="105"/>
        <v>81248</v>
      </c>
      <c r="P335" s="67">
        <f>P342+P346</f>
        <v>83369.4</v>
      </c>
      <c r="Q335" s="67">
        <f t="shared" si="105"/>
        <v>82046.3</v>
      </c>
      <c r="R335" s="67">
        <f t="shared" si="105"/>
        <v>82187.1</v>
      </c>
      <c r="S335" s="67">
        <f t="shared" si="105"/>
        <v>82187.1</v>
      </c>
      <c r="T335" s="67">
        <f t="shared" si="105"/>
        <v>82187.1</v>
      </c>
      <c r="U335" s="52">
        <f t="shared" si="100"/>
        <v>707446.2</v>
      </c>
      <c r="V335" s="34">
        <v>2024</v>
      </c>
      <c r="W335" s="4">
        <f t="shared" si="97"/>
        <v>622.5</v>
      </c>
      <c r="X335" s="4">
        <f t="shared" si="98"/>
        <v>-1323.1</v>
      </c>
      <c r="Y335" s="4"/>
      <c r="Z335" s="3"/>
    </row>
    <row r="336" spans="1:26" s="7" customFormat="1" ht="12.75">
      <c r="A336" s="33" t="s">
        <v>254</v>
      </c>
      <c r="B336" s="34">
        <v>1</v>
      </c>
      <c r="C336" s="34">
        <v>3</v>
      </c>
      <c r="D336" s="34">
        <v>1</v>
      </c>
      <c r="E336" s="34">
        <v>0</v>
      </c>
      <c r="F336" s="34">
        <v>0</v>
      </c>
      <c r="G336" s="34">
        <v>2</v>
      </c>
      <c r="H336" s="51" t="s">
        <v>257</v>
      </c>
      <c r="I336" s="34" t="s">
        <v>255</v>
      </c>
      <c r="J336" s="52">
        <f t="shared" si="104"/>
        <v>0</v>
      </c>
      <c r="K336" s="52">
        <f t="shared" si="104"/>
        <v>0</v>
      </c>
      <c r="L336" s="52">
        <f t="shared" si="104"/>
        <v>3750.5</v>
      </c>
      <c r="M336" s="67">
        <f t="shared" si="105"/>
        <v>0</v>
      </c>
      <c r="N336" s="67">
        <f>N343+N347</f>
        <v>0</v>
      </c>
      <c r="O336" s="67">
        <f t="shared" si="105"/>
        <v>0</v>
      </c>
      <c r="P336" s="67">
        <f>P343+P347</f>
        <v>0</v>
      </c>
      <c r="Q336" s="67">
        <f t="shared" si="105"/>
        <v>0</v>
      </c>
      <c r="R336" s="67">
        <f t="shared" si="105"/>
        <v>0</v>
      </c>
      <c r="S336" s="67">
        <f t="shared" si="105"/>
        <v>0</v>
      </c>
      <c r="T336" s="67">
        <f t="shared" si="105"/>
        <v>0</v>
      </c>
      <c r="U336" s="52">
        <f t="shared" si="100"/>
        <v>3750.5</v>
      </c>
      <c r="V336" s="34">
        <v>2018</v>
      </c>
      <c r="W336" s="4">
        <f t="shared" si="97"/>
        <v>0</v>
      </c>
      <c r="X336" s="4">
        <f t="shared" si="98"/>
        <v>0</v>
      </c>
      <c r="Y336" s="4"/>
      <c r="Z336" s="3"/>
    </row>
    <row r="337" spans="1:24" ht="63.75">
      <c r="A337" s="33" t="s">
        <v>254</v>
      </c>
      <c r="B337" s="34">
        <v>1</v>
      </c>
      <c r="C337" s="34">
        <v>3</v>
      </c>
      <c r="D337" s="34">
        <v>1</v>
      </c>
      <c r="E337" s="34">
        <v>0</v>
      </c>
      <c r="F337" s="34">
        <v>0</v>
      </c>
      <c r="G337" s="35"/>
      <c r="H337" s="39" t="s">
        <v>14</v>
      </c>
      <c r="I337" s="35" t="s">
        <v>260</v>
      </c>
      <c r="J337" s="42">
        <v>100</v>
      </c>
      <c r="K337" s="42">
        <v>100</v>
      </c>
      <c r="L337" s="42">
        <v>100</v>
      </c>
      <c r="M337" s="42">
        <v>100</v>
      </c>
      <c r="N337" s="42">
        <v>100</v>
      </c>
      <c r="O337" s="40">
        <v>100</v>
      </c>
      <c r="P337" s="40">
        <v>100</v>
      </c>
      <c r="Q337" s="40">
        <v>100</v>
      </c>
      <c r="R337" s="42">
        <v>100</v>
      </c>
      <c r="S337" s="42">
        <v>100</v>
      </c>
      <c r="T337" s="42">
        <v>100</v>
      </c>
      <c r="U337" s="42">
        <v>100</v>
      </c>
      <c r="V337" s="90">
        <v>2024</v>
      </c>
      <c r="W337" s="4">
        <f t="shared" si="97"/>
        <v>0</v>
      </c>
      <c r="X337" s="4">
        <f t="shared" si="98"/>
        <v>0</v>
      </c>
    </row>
    <row r="338" spans="1:24" ht="63.75">
      <c r="A338" s="33" t="s">
        <v>254</v>
      </c>
      <c r="B338" s="34">
        <v>1</v>
      </c>
      <c r="C338" s="34">
        <v>3</v>
      </c>
      <c r="D338" s="34">
        <v>1</v>
      </c>
      <c r="E338" s="34">
        <v>0</v>
      </c>
      <c r="F338" s="34">
        <v>0</v>
      </c>
      <c r="G338" s="116"/>
      <c r="H338" s="177" t="s">
        <v>15</v>
      </c>
      <c r="I338" s="116" t="s">
        <v>260</v>
      </c>
      <c r="J338" s="125">
        <v>98</v>
      </c>
      <c r="K338" s="125">
        <v>99</v>
      </c>
      <c r="L338" s="125">
        <v>100</v>
      </c>
      <c r="M338" s="125">
        <v>100</v>
      </c>
      <c r="N338" s="125">
        <v>100</v>
      </c>
      <c r="O338" s="114">
        <v>100</v>
      </c>
      <c r="P338" s="114">
        <v>100</v>
      </c>
      <c r="Q338" s="114">
        <v>100</v>
      </c>
      <c r="R338" s="125">
        <v>100</v>
      </c>
      <c r="S338" s="125">
        <v>100</v>
      </c>
      <c r="T338" s="125">
        <v>100</v>
      </c>
      <c r="U338" s="125">
        <v>100</v>
      </c>
      <c r="V338" s="126">
        <v>2024</v>
      </c>
      <c r="W338" s="4">
        <f t="shared" si="97"/>
        <v>0</v>
      </c>
      <c r="X338" s="4">
        <f t="shared" si="98"/>
        <v>0</v>
      </c>
    </row>
    <row r="339" spans="1:24" ht="51">
      <c r="A339" s="36" t="s">
        <v>254</v>
      </c>
      <c r="B339" s="37">
        <v>1</v>
      </c>
      <c r="C339" s="37">
        <v>3</v>
      </c>
      <c r="D339" s="37">
        <v>1</v>
      </c>
      <c r="E339" s="37">
        <v>0</v>
      </c>
      <c r="F339" s="37">
        <v>1</v>
      </c>
      <c r="G339" s="38"/>
      <c r="H339" s="43" t="s">
        <v>264</v>
      </c>
      <c r="I339" s="38" t="s">
        <v>279</v>
      </c>
      <c r="J339" s="44" t="s">
        <v>280</v>
      </c>
      <c r="K339" s="44" t="s">
        <v>280</v>
      </c>
      <c r="L339" s="127" t="s">
        <v>280</v>
      </c>
      <c r="M339" s="46" t="s">
        <v>280</v>
      </c>
      <c r="N339" s="46" t="s">
        <v>280</v>
      </c>
      <c r="O339" s="46" t="s">
        <v>280</v>
      </c>
      <c r="P339" s="46" t="s">
        <v>280</v>
      </c>
      <c r="Q339" s="46" t="s">
        <v>280</v>
      </c>
      <c r="R339" s="46" t="s">
        <v>280</v>
      </c>
      <c r="S339" s="46" t="s">
        <v>280</v>
      </c>
      <c r="T339" s="46" t="s">
        <v>280</v>
      </c>
      <c r="U339" s="44" t="s">
        <v>280</v>
      </c>
      <c r="V339" s="38">
        <v>2024</v>
      </c>
      <c r="W339" s="4"/>
      <c r="X339" s="4"/>
    </row>
    <row r="340" spans="1:24" ht="38.25">
      <c r="A340" s="33" t="s">
        <v>254</v>
      </c>
      <c r="B340" s="34">
        <v>1</v>
      </c>
      <c r="C340" s="34">
        <v>3</v>
      </c>
      <c r="D340" s="34">
        <v>1</v>
      </c>
      <c r="E340" s="34">
        <v>0</v>
      </c>
      <c r="F340" s="34">
        <v>1</v>
      </c>
      <c r="G340" s="35"/>
      <c r="H340" s="39" t="s">
        <v>147</v>
      </c>
      <c r="I340" s="35" t="s">
        <v>260</v>
      </c>
      <c r="J340" s="40">
        <v>100</v>
      </c>
      <c r="K340" s="40">
        <v>100</v>
      </c>
      <c r="L340" s="40">
        <v>100</v>
      </c>
      <c r="M340" s="41">
        <v>100</v>
      </c>
      <c r="N340" s="41">
        <v>100</v>
      </c>
      <c r="O340" s="41">
        <v>100</v>
      </c>
      <c r="P340" s="41">
        <v>100</v>
      </c>
      <c r="Q340" s="41">
        <v>100</v>
      </c>
      <c r="R340" s="41">
        <v>100</v>
      </c>
      <c r="S340" s="41">
        <v>100</v>
      </c>
      <c r="T340" s="41">
        <v>100</v>
      </c>
      <c r="U340" s="99">
        <v>100</v>
      </c>
      <c r="V340" s="35">
        <v>2024</v>
      </c>
      <c r="W340" s="4">
        <f t="shared" si="97"/>
        <v>0</v>
      </c>
      <c r="X340" s="4">
        <f t="shared" si="98"/>
        <v>0</v>
      </c>
    </row>
    <row r="341" spans="1:26" s="7" customFormat="1" ht="38.25">
      <c r="A341" s="36" t="s">
        <v>254</v>
      </c>
      <c r="B341" s="37">
        <v>1</v>
      </c>
      <c r="C341" s="37">
        <v>3</v>
      </c>
      <c r="D341" s="37">
        <v>1</v>
      </c>
      <c r="E341" s="37">
        <v>0</v>
      </c>
      <c r="F341" s="37">
        <v>2</v>
      </c>
      <c r="G341" s="37"/>
      <c r="H341" s="49" t="s">
        <v>409</v>
      </c>
      <c r="I341" s="37" t="s">
        <v>255</v>
      </c>
      <c r="J341" s="45">
        <f aca="true" t="shared" si="106" ref="J341:T341">J342+J343</f>
        <v>72039.1</v>
      </c>
      <c r="K341" s="45">
        <f t="shared" si="106"/>
        <v>64992.6</v>
      </c>
      <c r="L341" s="45">
        <f t="shared" si="106"/>
        <v>71562.7</v>
      </c>
      <c r="M341" s="50">
        <f t="shared" si="106"/>
        <v>71323.8</v>
      </c>
      <c r="N341" s="50">
        <f t="shared" si="106"/>
        <v>74368.6</v>
      </c>
      <c r="O341" s="50">
        <f t="shared" si="106"/>
        <v>76249.4</v>
      </c>
      <c r="P341" s="50">
        <f t="shared" si="106"/>
        <v>76942</v>
      </c>
      <c r="Q341" s="50">
        <f t="shared" si="106"/>
        <v>76942</v>
      </c>
      <c r="R341" s="50">
        <f t="shared" si="106"/>
        <v>76942</v>
      </c>
      <c r="S341" s="50">
        <f t="shared" si="106"/>
        <v>76942</v>
      </c>
      <c r="T341" s="50">
        <f t="shared" si="106"/>
        <v>76942</v>
      </c>
      <c r="U341" s="45">
        <f>J341+K341+L341+M341+O341+Q341+R341+S341+T341</f>
        <v>663935.6</v>
      </c>
      <c r="V341" s="37">
        <v>2024</v>
      </c>
      <c r="W341" s="4">
        <f t="shared" si="97"/>
        <v>1880.8</v>
      </c>
      <c r="X341" s="4">
        <f t="shared" si="98"/>
        <v>0</v>
      </c>
      <c r="Y341" s="4"/>
      <c r="Z341" s="3"/>
    </row>
    <row r="342" spans="1:26" s="7" customFormat="1" ht="12.75">
      <c r="A342" s="33" t="s">
        <v>254</v>
      </c>
      <c r="B342" s="34">
        <v>1</v>
      </c>
      <c r="C342" s="34">
        <v>3</v>
      </c>
      <c r="D342" s="34">
        <v>1</v>
      </c>
      <c r="E342" s="34">
        <v>0</v>
      </c>
      <c r="F342" s="34">
        <v>2</v>
      </c>
      <c r="G342" s="34">
        <v>3</v>
      </c>
      <c r="H342" s="51" t="s">
        <v>256</v>
      </c>
      <c r="I342" s="34" t="s">
        <v>255</v>
      </c>
      <c r="J342" s="52">
        <f>69439.1-0.1+4910-2309.9</f>
        <v>72039.1</v>
      </c>
      <c r="K342" s="52">
        <f>72121.9-7129.3</f>
        <v>64992.6</v>
      </c>
      <c r="L342" s="52">
        <v>67917.1</v>
      </c>
      <c r="M342" s="67">
        <v>71323.8</v>
      </c>
      <c r="N342" s="67">
        <v>74368.6</v>
      </c>
      <c r="O342" s="67">
        <v>76249.4</v>
      </c>
      <c r="P342" s="67">
        <v>76942</v>
      </c>
      <c r="Q342" s="67">
        <v>76942</v>
      </c>
      <c r="R342" s="67">
        <f>Q342</f>
        <v>76942</v>
      </c>
      <c r="S342" s="67">
        <f>R342</f>
        <v>76942</v>
      </c>
      <c r="T342" s="67">
        <f>S342</f>
        <v>76942</v>
      </c>
      <c r="U342" s="52">
        <f>J342+K342+L342+M342+O342+Q342+R342+S342+T342</f>
        <v>660290</v>
      </c>
      <c r="V342" s="34">
        <v>2024</v>
      </c>
      <c r="W342" s="4">
        <f t="shared" si="97"/>
        <v>1880.8</v>
      </c>
      <c r="X342" s="4">
        <f t="shared" si="98"/>
        <v>0</v>
      </c>
      <c r="Y342" s="4"/>
      <c r="Z342" s="3"/>
    </row>
    <row r="343" spans="1:26" s="7" customFormat="1" ht="12.75">
      <c r="A343" s="33" t="s">
        <v>254</v>
      </c>
      <c r="B343" s="34">
        <v>1</v>
      </c>
      <c r="C343" s="34">
        <v>3</v>
      </c>
      <c r="D343" s="34">
        <v>1</v>
      </c>
      <c r="E343" s="34">
        <v>0</v>
      </c>
      <c r="F343" s="34">
        <v>2</v>
      </c>
      <c r="G343" s="34">
        <v>2</v>
      </c>
      <c r="H343" s="51" t="s">
        <v>257</v>
      </c>
      <c r="I343" s="34" t="s">
        <v>255</v>
      </c>
      <c r="J343" s="52">
        <v>0</v>
      </c>
      <c r="K343" s="52">
        <v>0</v>
      </c>
      <c r="L343" s="52">
        <v>3645.6</v>
      </c>
      <c r="M343" s="67">
        <v>0</v>
      </c>
      <c r="N343" s="67">
        <v>0</v>
      </c>
      <c r="O343" s="67">
        <v>0</v>
      </c>
      <c r="P343" s="67">
        <v>0</v>
      </c>
      <c r="Q343" s="67">
        <v>0</v>
      </c>
      <c r="R343" s="67">
        <v>0</v>
      </c>
      <c r="S343" s="67">
        <v>0</v>
      </c>
      <c r="T343" s="67">
        <v>0</v>
      </c>
      <c r="U343" s="52">
        <f>J343+K343+L343+M343+O343+Q343+R343+S343+T343</f>
        <v>3645.6</v>
      </c>
      <c r="V343" s="34">
        <v>2018</v>
      </c>
      <c r="W343" s="4">
        <f t="shared" si="97"/>
        <v>0</v>
      </c>
      <c r="X343" s="4">
        <f t="shared" si="98"/>
        <v>0</v>
      </c>
      <c r="Y343" s="4"/>
      <c r="Z343" s="3"/>
    </row>
    <row r="344" spans="1:24" ht="25.5">
      <c r="A344" s="33" t="s">
        <v>254</v>
      </c>
      <c r="B344" s="34">
        <v>1</v>
      </c>
      <c r="C344" s="34">
        <v>3</v>
      </c>
      <c r="D344" s="34">
        <v>1</v>
      </c>
      <c r="E344" s="34">
        <v>0</v>
      </c>
      <c r="F344" s="34">
        <v>2</v>
      </c>
      <c r="G344" s="35"/>
      <c r="H344" s="39" t="s">
        <v>16</v>
      </c>
      <c r="I344" s="35" t="s">
        <v>93</v>
      </c>
      <c r="J344" s="40">
        <v>387730.8</v>
      </c>
      <c r="K344" s="40">
        <f>387730.8-827.8</f>
        <v>386903</v>
      </c>
      <c r="L344" s="40">
        <v>386903</v>
      </c>
      <c r="M344" s="40">
        <v>386901.5</v>
      </c>
      <c r="N344" s="40">
        <v>386901.5</v>
      </c>
      <c r="O344" s="40">
        <v>386901.5</v>
      </c>
      <c r="P344" s="40">
        <v>386901.5</v>
      </c>
      <c r="Q344" s="40">
        <v>386901.5</v>
      </c>
      <c r="R344" s="40">
        <v>386901.5</v>
      </c>
      <c r="S344" s="40">
        <v>386901.5</v>
      </c>
      <c r="T344" s="40">
        <v>386901.5</v>
      </c>
      <c r="U344" s="40">
        <v>386901.5</v>
      </c>
      <c r="V344" s="35">
        <v>2024</v>
      </c>
      <c r="W344" s="4">
        <f t="shared" si="97"/>
        <v>0</v>
      </c>
      <c r="X344" s="4">
        <f t="shared" si="98"/>
        <v>0</v>
      </c>
    </row>
    <row r="345" spans="1:26" s="7" customFormat="1" ht="63.75">
      <c r="A345" s="36" t="s">
        <v>254</v>
      </c>
      <c r="B345" s="37">
        <v>1</v>
      </c>
      <c r="C345" s="37">
        <v>3</v>
      </c>
      <c r="D345" s="37">
        <v>1</v>
      </c>
      <c r="E345" s="37">
        <v>0</v>
      </c>
      <c r="F345" s="37">
        <v>3</v>
      </c>
      <c r="G345" s="37"/>
      <c r="H345" s="49" t="s">
        <v>410</v>
      </c>
      <c r="I345" s="37" t="s">
        <v>255</v>
      </c>
      <c r="J345" s="45">
        <f aca="true" t="shared" si="107" ref="J345:T345">J346+J347</f>
        <v>5792.4</v>
      </c>
      <c r="K345" s="45">
        <f t="shared" si="107"/>
        <v>6349.4</v>
      </c>
      <c r="L345" s="45">
        <f t="shared" si="107"/>
        <v>4680.3</v>
      </c>
      <c r="M345" s="50">
        <f t="shared" si="107"/>
        <v>4600.8</v>
      </c>
      <c r="N345" s="50">
        <f t="shared" si="107"/>
        <v>6256.9</v>
      </c>
      <c r="O345" s="50">
        <f t="shared" si="107"/>
        <v>4998.6</v>
      </c>
      <c r="P345" s="50">
        <f t="shared" si="107"/>
        <v>6427.4</v>
      </c>
      <c r="Q345" s="50">
        <f t="shared" si="107"/>
        <v>5104.3</v>
      </c>
      <c r="R345" s="50">
        <f t="shared" si="107"/>
        <v>5245.1</v>
      </c>
      <c r="S345" s="50">
        <f t="shared" si="107"/>
        <v>5245.1</v>
      </c>
      <c r="T345" s="50">
        <f t="shared" si="107"/>
        <v>5245.1</v>
      </c>
      <c r="U345" s="45">
        <f>J345+K345+L345+M345+O345+Q345+R345+S345+T345</f>
        <v>47261.1</v>
      </c>
      <c r="V345" s="37">
        <v>2024</v>
      </c>
      <c r="W345" s="4">
        <f t="shared" si="97"/>
        <v>-1258.3</v>
      </c>
      <c r="X345" s="4">
        <f t="shared" si="98"/>
        <v>-1323.1</v>
      </c>
      <c r="Y345" s="4"/>
      <c r="Z345" s="3"/>
    </row>
    <row r="346" spans="1:26" s="7" customFormat="1" ht="12.75">
      <c r="A346" s="33" t="s">
        <v>254</v>
      </c>
      <c r="B346" s="34">
        <v>1</v>
      </c>
      <c r="C346" s="34">
        <v>3</v>
      </c>
      <c r="D346" s="34">
        <v>1</v>
      </c>
      <c r="E346" s="34">
        <v>0</v>
      </c>
      <c r="F346" s="34">
        <v>3</v>
      </c>
      <c r="G346" s="34">
        <v>3</v>
      </c>
      <c r="H346" s="51" t="s">
        <v>256</v>
      </c>
      <c r="I346" s="34" t="s">
        <v>255</v>
      </c>
      <c r="J346" s="52">
        <f>6353.8-561.4</f>
        <v>5792.4</v>
      </c>
      <c r="K346" s="52">
        <f>6651.5-245.8+0.1-56.4</f>
        <v>6349.4</v>
      </c>
      <c r="L346" s="52">
        <v>4575.4</v>
      </c>
      <c r="M346" s="67">
        <v>4600.8</v>
      </c>
      <c r="N346" s="67">
        <v>6256.9</v>
      </c>
      <c r="O346" s="67">
        <v>4998.6</v>
      </c>
      <c r="P346" s="67">
        <v>6427.4</v>
      </c>
      <c r="Q346" s="67">
        <v>5104.3</v>
      </c>
      <c r="R346" s="67">
        <v>5245.1</v>
      </c>
      <c r="S346" s="67">
        <v>5245.1</v>
      </c>
      <c r="T346" s="67">
        <v>5245.1</v>
      </c>
      <c r="U346" s="52">
        <f>J346+K346+L346+M346+O346+Q346+R346+S346+T346</f>
        <v>47156.2</v>
      </c>
      <c r="V346" s="34">
        <v>2024</v>
      </c>
      <c r="W346" s="4">
        <f t="shared" si="97"/>
        <v>-1258.3</v>
      </c>
      <c r="X346" s="4">
        <f t="shared" si="98"/>
        <v>-1323.1</v>
      </c>
      <c r="Y346" s="4"/>
      <c r="Z346" s="3"/>
    </row>
    <row r="347" spans="1:26" s="7" customFormat="1" ht="12.75">
      <c r="A347" s="33" t="s">
        <v>254</v>
      </c>
      <c r="B347" s="34">
        <v>1</v>
      </c>
      <c r="C347" s="34">
        <v>3</v>
      </c>
      <c r="D347" s="34">
        <v>1</v>
      </c>
      <c r="E347" s="34">
        <v>0</v>
      </c>
      <c r="F347" s="34">
        <v>3</v>
      </c>
      <c r="G347" s="34">
        <v>2</v>
      </c>
      <c r="H347" s="51" t="s">
        <v>257</v>
      </c>
      <c r="I347" s="34" t="s">
        <v>255</v>
      </c>
      <c r="J347" s="52">
        <v>0</v>
      </c>
      <c r="K347" s="52">
        <v>0</v>
      </c>
      <c r="L347" s="52">
        <v>104.9</v>
      </c>
      <c r="M347" s="67">
        <v>0</v>
      </c>
      <c r="N347" s="67">
        <v>0</v>
      </c>
      <c r="O347" s="67">
        <v>0</v>
      </c>
      <c r="P347" s="67">
        <v>0</v>
      </c>
      <c r="Q347" s="67">
        <v>0</v>
      </c>
      <c r="R347" s="67"/>
      <c r="S347" s="67"/>
      <c r="T347" s="67"/>
      <c r="U347" s="52">
        <f>J347+K347+L347+M347+O347+Q347+R347+S347+T347</f>
        <v>104.9</v>
      </c>
      <c r="V347" s="34">
        <v>2018</v>
      </c>
      <c r="W347" s="4">
        <f t="shared" si="97"/>
        <v>0</v>
      </c>
      <c r="X347" s="4">
        <f t="shared" si="98"/>
        <v>0</v>
      </c>
      <c r="Y347" s="4"/>
      <c r="Z347" s="3"/>
    </row>
    <row r="348" spans="1:24" ht="76.5">
      <c r="A348" s="33" t="s">
        <v>254</v>
      </c>
      <c r="B348" s="34">
        <v>1</v>
      </c>
      <c r="C348" s="34">
        <v>3</v>
      </c>
      <c r="D348" s="34">
        <v>1</v>
      </c>
      <c r="E348" s="34">
        <v>0</v>
      </c>
      <c r="F348" s="34">
        <v>3</v>
      </c>
      <c r="G348" s="35"/>
      <c r="H348" s="39" t="s">
        <v>132</v>
      </c>
      <c r="I348" s="35" t="s">
        <v>260</v>
      </c>
      <c r="J348" s="99">
        <f>J346/J9*100</f>
        <v>0.5</v>
      </c>
      <c r="K348" s="99">
        <f>K346/K8*100</f>
        <v>0.2</v>
      </c>
      <c r="L348" s="99">
        <f>L346/L9*100</f>
        <v>0.3</v>
      </c>
      <c r="M348" s="66">
        <v>0.3</v>
      </c>
      <c r="N348" s="66">
        <v>0.4</v>
      </c>
      <c r="O348" s="66">
        <f aca="true" t="shared" si="108" ref="O348:T348">O346/O9*100</f>
        <v>0.3</v>
      </c>
      <c r="P348" s="66">
        <f t="shared" si="108"/>
        <v>0.5</v>
      </c>
      <c r="Q348" s="66">
        <f t="shared" si="108"/>
        <v>0.3</v>
      </c>
      <c r="R348" s="66">
        <f t="shared" si="108"/>
        <v>0.3</v>
      </c>
      <c r="S348" s="66">
        <f t="shared" si="108"/>
        <v>0.3</v>
      </c>
      <c r="T348" s="66">
        <f t="shared" si="108"/>
        <v>0.3</v>
      </c>
      <c r="U348" s="99">
        <v>0.5</v>
      </c>
      <c r="V348" s="35">
        <v>2024</v>
      </c>
      <c r="W348" s="4">
        <f t="shared" si="97"/>
        <v>-0.1</v>
      </c>
      <c r="X348" s="4">
        <f t="shared" si="98"/>
        <v>-0.2</v>
      </c>
    </row>
    <row r="349" spans="1:26" s="7" customFormat="1" ht="38.25">
      <c r="A349" s="31" t="s">
        <v>254</v>
      </c>
      <c r="B349" s="32">
        <v>1</v>
      </c>
      <c r="C349" s="32">
        <v>3</v>
      </c>
      <c r="D349" s="32">
        <v>2</v>
      </c>
      <c r="E349" s="32">
        <v>0</v>
      </c>
      <c r="F349" s="32">
        <v>0</v>
      </c>
      <c r="G349" s="32"/>
      <c r="H349" s="30" t="s">
        <v>18</v>
      </c>
      <c r="I349" s="32" t="s">
        <v>255</v>
      </c>
      <c r="J349" s="68">
        <f aca="true" t="shared" si="109" ref="J349:T349">J350+J351</f>
        <v>9327.7</v>
      </c>
      <c r="K349" s="68">
        <f t="shared" si="109"/>
        <v>9337.7</v>
      </c>
      <c r="L349" s="68">
        <f t="shared" si="109"/>
        <v>20921.8</v>
      </c>
      <c r="M349" s="64">
        <f t="shared" si="109"/>
        <v>15329.3</v>
      </c>
      <c r="N349" s="64">
        <f>N350+N351</f>
        <v>1400</v>
      </c>
      <c r="O349" s="64">
        <f t="shared" si="109"/>
        <v>11400</v>
      </c>
      <c r="P349" s="64">
        <f>P350+P351</f>
        <v>2115</v>
      </c>
      <c r="Q349" s="64">
        <f t="shared" si="109"/>
        <v>25641.9</v>
      </c>
      <c r="R349" s="64">
        <f t="shared" si="109"/>
        <v>2115</v>
      </c>
      <c r="S349" s="64">
        <f t="shared" si="109"/>
        <v>2115</v>
      </c>
      <c r="T349" s="64">
        <f t="shared" si="109"/>
        <v>2115</v>
      </c>
      <c r="U349" s="68">
        <f>J349+K349+L349+M349+O349+Q349+R349+S349+T349</f>
        <v>98303.4</v>
      </c>
      <c r="V349" s="32">
        <v>2024</v>
      </c>
      <c r="W349" s="4">
        <f t="shared" si="97"/>
        <v>10000</v>
      </c>
      <c r="X349" s="4">
        <f t="shared" si="98"/>
        <v>23526.9</v>
      </c>
      <c r="Y349" s="4"/>
      <c r="Z349" s="3"/>
    </row>
    <row r="350" spans="1:26" s="7" customFormat="1" ht="12.75">
      <c r="A350" s="33" t="s">
        <v>254</v>
      </c>
      <c r="B350" s="34">
        <v>1</v>
      </c>
      <c r="C350" s="34">
        <v>3</v>
      </c>
      <c r="D350" s="34">
        <v>2</v>
      </c>
      <c r="E350" s="34">
        <v>0</v>
      </c>
      <c r="F350" s="34">
        <v>0</v>
      </c>
      <c r="G350" s="34">
        <v>3</v>
      </c>
      <c r="H350" s="51" t="s">
        <v>256</v>
      </c>
      <c r="I350" s="34" t="s">
        <v>255</v>
      </c>
      <c r="J350" s="52">
        <f aca="true" t="shared" si="110" ref="J350:L351">J357</f>
        <v>9327.7</v>
      </c>
      <c r="K350" s="52">
        <f t="shared" si="110"/>
        <v>9146.4</v>
      </c>
      <c r="L350" s="52">
        <f t="shared" si="110"/>
        <v>20785.1</v>
      </c>
      <c r="M350" s="67">
        <f aca="true" t="shared" si="111" ref="M350:T350">M357</f>
        <v>15306.3</v>
      </c>
      <c r="N350" s="67">
        <f>N357</f>
        <v>1400</v>
      </c>
      <c r="O350" s="67">
        <f t="shared" si="111"/>
        <v>11400</v>
      </c>
      <c r="P350" s="67">
        <f>P357</f>
        <v>2115</v>
      </c>
      <c r="Q350" s="67">
        <f t="shared" si="111"/>
        <v>25641.9</v>
      </c>
      <c r="R350" s="67">
        <f t="shared" si="111"/>
        <v>2115</v>
      </c>
      <c r="S350" s="67">
        <f t="shared" si="111"/>
        <v>2115</v>
      </c>
      <c r="T350" s="67">
        <f t="shared" si="111"/>
        <v>2115</v>
      </c>
      <c r="U350" s="52">
        <f>J350+K350+L350+M350+O350+Q350+R350+S350+T350</f>
        <v>97952.4</v>
      </c>
      <c r="V350" s="34">
        <v>2024</v>
      </c>
      <c r="W350" s="4">
        <f t="shared" si="97"/>
        <v>10000</v>
      </c>
      <c r="X350" s="4">
        <f t="shared" si="98"/>
        <v>23526.9</v>
      </c>
      <c r="Y350" s="4"/>
      <c r="Z350" s="3"/>
    </row>
    <row r="351" spans="1:26" s="7" customFormat="1" ht="12.75">
      <c r="A351" s="33" t="s">
        <v>254</v>
      </c>
      <c r="B351" s="34">
        <v>1</v>
      </c>
      <c r="C351" s="34">
        <v>3</v>
      </c>
      <c r="D351" s="34">
        <v>2</v>
      </c>
      <c r="E351" s="34">
        <v>0</v>
      </c>
      <c r="F351" s="34">
        <v>0</v>
      </c>
      <c r="G351" s="34">
        <v>2</v>
      </c>
      <c r="H351" s="51" t="s">
        <v>257</v>
      </c>
      <c r="I351" s="34" t="s">
        <v>255</v>
      </c>
      <c r="J351" s="52">
        <f t="shared" si="110"/>
        <v>0</v>
      </c>
      <c r="K351" s="52">
        <f t="shared" si="110"/>
        <v>191.3</v>
      </c>
      <c r="L351" s="52">
        <f t="shared" si="110"/>
        <v>136.7</v>
      </c>
      <c r="M351" s="67">
        <f>M358</f>
        <v>23</v>
      </c>
      <c r="N351" s="67">
        <f>N358</f>
        <v>0</v>
      </c>
      <c r="O351" s="67">
        <v>0</v>
      </c>
      <c r="P351" s="67">
        <v>0</v>
      </c>
      <c r="Q351" s="67">
        <v>0</v>
      </c>
      <c r="R351" s="67">
        <f>R358</f>
        <v>0</v>
      </c>
      <c r="S351" s="67">
        <f>S358</f>
        <v>0</v>
      </c>
      <c r="T351" s="67">
        <f>T358</f>
        <v>0</v>
      </c>
      <c r="U351" s="52">
        <f>J351+K351+L351+M351+O351+Q351+R351+S351+T351</f>
        <v>351</v>
      </c>
      <c r="V351" s="34">
        <v>2019</v>
      </c>
      <c r="W351" s="4">
        <f t="shared" si="97"/>
        <v>0</v>
      </c>
      <c r="X351" s="4">
        <f t="shared" si="98"/>
        <v>0</v>
      </c>
      <c r="Y351" s="4"/>
      <c r="Z351" s="3"/>
    </row>
    <row r="352" spans="1:24" ht="38.25">
      <c r="A352" s="33" t="s">
        <v>254</v>
      </c>
      <c r="B352" s="34">
        <v>1</v>
      </c>
      <c r="C352" s="34">
        <v>3</v>
      </c>
      <c r="D352" s="34">
        <v>2</v>
      </c>
      <c r="E352" s="34">
        <v>0</v>
      </c>
      <c r="F352" s="34">
        <v>0</v>
      </c>
      <c r="G352" s="35"/>
      <c r="H352" s="39" t="s">
        <v>19</v>
      </c>
      <c r="I352" s="35" t="s">
        <v>260</v>
      </c>
      <c r="J352" s="40">
        <v>22.7</v>
      </c>
      <c r="K352" s="40">
        <v>23.9</v>
      </c>
      <c r="L352" s="40">
        <v>25</v>
      </c>
      <c r="M352" s="41">
        <v>47.7</v>
      </c>
      <c r="N352" s="41">
        <v>65.9</v>
      </c>
      <c r="O352" s="41">
        <v>65.9</v>
      </c>
      <c r="P352" s="41">
        <v>89.8</v>
      </c>
      <c r="Q352" s="41">
        <v>89.8</v>
      </c>
      <c r="R352" s="41">
        <v>90.9</v>
      </c>
      <c r="S352" s="41">
        <v>92</v>
      </c>
      <c r="T352" s="41">
        <v>93.2</v>
      </c>
      <c r="U352" s="99">
        <v>97.7</v>
      </c>
      <c r="V352" s="35">
        <v>2024</v>
      </c>
      <c r="W352" s="4">
        <f t="shared" si="97"/>
        <v>0</v>
      </c>
      <c r="X352" s="4">
        <f t="shared" si="98"/>
        <v>0</v>
      </c>
    </row>
    <row r="353" spans="1:24" ht="38.25">
      <c r="A353" s="33" t="s">
        <v>254</v>
      </c>
      <c r="B353" s="34">
        <v>1</v>
      </c>
      <c r="C353" s="34">
        <v>3</v>
      </c>
      <c r="D353" s="34">
        <v>2</v>
      </c>
      <c r="E353" s="34">
        <v>0</v>
      </c>
      <c r="F353" s="34">
        <v>0</v>
      </c>
      <c r="G353" s="116"/>
      <c r="H353" s="177" t="s">
        <v>20</v>
      </c>
      <c r="I353" s="116" t="s">
        <v>294</v>
      </c>
      <c r="J353" s="113">
        <v>61</v>
      </c>
      <c r="K353" s="113">
        <v>46</v>
      </c>
      <c r="L353" s="113">
        <v>33</v>
      </c>
      <c r="M353" s="69">
        <v>32</v>
      </c>
      <c r="N353" s="69">
        <v>15</v>
      </c>
      <c r="O353" s="69">
        <v>15</v>
      </c>
      <c r="P353" s="69">
        <v>39</v>
      </c>
      <c r="Q353" s="69">
        <v>39</v>
      </c>
      <c r="R353" s="69">
        <v>6</v>
      </c>
      <c r="S353" s="69">
        <v>3</v>
      </c>
      <c r="T353" s="69">
        <v>4</v>
      </c>
      <c r="U353" s="113">
        <f>J353+K353+L353+M353+O353+Q353+R353+S353+T353</f>
        <v>239</v>
      </c>
      <c r="V353" s="116">
        <v>2024</v>
      </c>
      <c r="W353" s="4">
        <f t="shared" si="97"/>
        <v>0</v>
      </c>
      <c r="X353" s="4">
        <f t="shared" si="98"/>
        <v>0</v>
      </c>
    </row>
    <row r="354" spans="1:24" ht="51">
      <c r="A354" s="36" t="s">
        <v>254</v>
      </c>
      <c r="B354" s="37">
        <v>1</v>
      </c>
      <c r="C354" s="37">
        <v>3</v>
      </c>
      <c r="D354" s="37">
        <v>2</v>
      </c>
      <c r="E354" s="37">
        <v>0</v>
      </c>
      <c r="F354" s="37">
        <v>1</v>
      </c>
      <c r="G354" s="38"/>
      <c r="H354" s="43" t="s">
        <v>91</v>
      </c>
      <c r="I354" s="38" t="s">
        <v>279</v>
      </c>
      <c r="J354" s="44" t="s">
        <v>280</v>
      </c>
      <c r="K354" s="44" t="s">
        <v>280</v>
      </c>
      <c r="L354" s="45" t="s">
        <v>280</v>
      </c>
      <c r="M354" s="46" t="s">
        <v>280</v>
      </c>
      <c r="N354" s="46" t="s">
        <v>280</v>
      </c>
      <c r="O354" s="46" t="s">
        <v>280</v>
      </c>
      <c r="P354" s="46" t="s">
        <v>280</v>
      </c>
      <c r="Q354" s="46" t="s">
        <v>280</v>
      </c>
      <c r="R354" s="46" t="s">
        <v>280</v>
      </c>
      <c r="S354" s="46" t="s">
        <v>280</v>
      </c>
      <c r="T354" s="46" t="s">
        <v>280</v>
      </c>
      <c r="U354" s="44" t="s">
        <v>280</v>
      </c>
      <c r="V354" s="38">
        <v>2024</v>
      </c>
      <c r="W354" s="4"/>
      <c r="X354" s="4"/>
    </row>
    <row r="355" spans="1:24" ht="63.75">
      <c r="A355" s="33" t="s">
        <v>254</v>
      </c>
      <c r="B355" s="34">
        <v>1</v>
      </c>
      <c r="C355" s="34">
        <v>3</v>
      </c>
      <c r="D355" s="34">
        <v>2</v>
      </c>
      <c r="E355" s="34">
        <v>0</v>
      </c>
      <c r="F355" s="34">
        <v>1</v>
      </c>
      <c r="G355" s="35"/>
      <c r="H355" s="39" t="s">
        <v>81</v>
      </c>
      <c r="I355" s="35" t="s">
        <v>294</v>
      </c>
      <c r="J355" s="47">
        <v>1</v>
      </c>
      <c r="K355" s="47">
        <v>1</v>
      </c>
      <c r="L355" s="47">
        <v>1</v>
      </c>
      <c r="M355" s="70">
        <v>1</v>
      </c>
      <c r="N355" s="70">
        <v>1</v>
      </c>
      <c r="O355" s="70">
        <v>1</v>
      </c>
      <c r="P355" s="70">
        <v>1</v>
      </c>
      <c r="Q355" s="70">
        <v>1</v>
      </c>
      <c r="R355" s="70">
        <v>1</v>
      </c>
      <c r="S355" s="70">
        <v>1</v>
      </c>
      <c r="T355" s="70">
        <v>1</v>
      </c>
      <c r="U355" s="47">
        <f>J355+K355+L355+M355+O355+Q355+R355+S355+T355</f>
        <v>9</v>
      </c>
      <c r="V355" s="35">
        <v>2024</v>
      </c>
      <c r="W355" s="4">
        <f t="shared" si="97"/>
        <v>0</v>
      </c>
      <c r="X355" s="4">
        <f t="shared" si="98"/>
        <v>0</v>
      </c>
    </row>
    <row r="356" spans="1:26" s="7" customFormat="1" ht="51">
      <c r="A356" s="36" t="s">
        <v>254</v>
      </c>
      <c r="B356" s="37">
        <v>1</v>
      </c>
      <c r="C356" s="37">
        <v>3</v>
      </c>
      <c r="D356" s="37">
        <v>2</v>
      </c>
      <c r="E356" s="37">
        <v>0</v>
      </c>
      <c r="F356" s="37">
        <v>2</v>
      </c>
      <c r="G356" s="37"/>
      <c r="H356" s="49" t="s">
        <v>411</v>
      </c>
      <c r="I356" s="37" t="s">
        <v>255</v>
      </c>
      <c r="J356" s="45">
        <f aca="true" t="shared" si="112" ref="J356:T356">J357+J358</f>
        <v>9327.7</v>
      </c>
      <c r="K356" s="45">
        <f t="shared" si="112"/>
        <v>9337.7</v>
      </c>
      <c r="L356" s="45">
        <f t="shared" si="112"/>
        <v>20921.8</v>
      </c>
      <c r="M356" s="50">
        <f t="shared" si="112"/>
        <v>15329.3</v>
      </c>
      <c r="N356" s="50">
        <f t="shared" si="112"/>
        <v>1400</v>
      </c>
      <c r="O356" s="50">
        <f t="shared" si="112"/>
        <v>11400</v>
      </c>
      <c r="P356" s="50">
        <f t="shared" si="112"/>
        <v>2115</v>
      </c>
      <c r="Q356" s="50">
        <f t="shared" si="112"/>
        <v>25641.9</v>
      </c>
      <c r="R356" s="50">
        <f t="shared" si="112"/>
        <v>2115</v>
      </c>
      <c r="S356" s="50">
        <f t="shared" si="112"/>
        <v>2115</v>
      </c>
      <c r="T356" s="50">
        <f t="shared" si="112"/>
        <v>2115</v>
      </c>
      <c r="U356" s="45">
        <f>J356+K356+L356+M356+O356+Q356+R356+S356+T356</f>
        <v>98303.4</v>
      </c>
      <c r="V356" s="37">
        <v>2024</v>
      </c>
      <c r="W356" s="4">
        <f t="shared" si="97"/>
        <v>10000</v>
      </c>
      <c r="X356" s="4">
        <f t="shared" si="98"/>
        <v>23526.9</v>
      </c>
      <c r="Y356" s="4"/>
      <c r="Z356" s="3"/>
    </row>
    <row r="357" spans="1:26" s="7" customFormat="1" ht="12.75">
      <c r="A357" s="33" t="s">
        <v>254</v>
      </c>
      <c r="B357" s="34">
        <v>1</v>
      </c>
      <c r="C357" s="34">
        <v>3</v>
      </c>
      <c r="D357" s="34">
        <v>2</v>
      </c>
      <c r="E357" s="34">
        <v>0</v>
      </c>
      <c r="F357" s="34">
        <v>2</v>
      </c>
      <c r="G357" s="34">
        <v>3</v>
      </c>
      <c r="H357" s="51" t="s">
        <v>256</v>
      </c>
      <c r="I357" s="34" t="s">
        <v>255</v>
      </c>
      <c r="J357" s="52">
        <f>950+50+6500+499.9+1500-267.2+55+40</f>
        <v>9327.7</v>
      </c>
      <c r="K357" s="52">
        <v>9146.4</v>
      </c>
      <c r="L357" s="52">
        <f>20921.857-136.8</f>
        <v>20785.1</v>
      </c>
      <c r="M357" s="67">
        <v>15306.3</v>
      </c>
      <c r="N357" s="67">
        <v>1400</v>
      </c>
      <c r="O357" s="67">
        <f>1400+10000</f>
        <v>11400</v>
      </c>
      <c r="P357" s="67">
        <v>2115</v>
      </c>
      <c r="Q357" s="67">
        <v>25641.9</v>
      </c>
      <c r="R357" s="67">
        <v>2115</v>
      </c>
      <c r="S357" s="67">
        <v>2115</v>
      </c>
      <c r="T357" s="67">
        <v>2115</v>
      </c>
      <c r="U357" s="52">
        <f>J357+K357+L357+M357+O357+Q357+R357+S357+T357</f>
        <v>97952.4</v>
      </c>
      <c r="V357" s="34">
        <v>2024</v>
      </c>
      <c r="W357" s="4">
        <f t="shared" si="97"/>
        <v>10000</v>
      </c>
      <c r="X357" s="4">
        <f t="shared" si="98"/>
        <v>23526.9</v>
      </c>
      <c r="Y357" s="4"/>
      <c r="Z357" s="3"/>
    </row>
    <row r="358" spans="1:26" s="7" customFormat="1" ht="12.75">
      <c r="A358" s="33" t="s">
        <v>254</v>
      </c>
      <c r="B358" s="34">
        <v>1</v>
      </c>
      <c r="C358" s="34">
        <v>3</v>
      </c>
      <c r="D358" s="34">
        <v>2</v>
      </c>
      <c r="E358" s="34">
        <v>0</v>
      </c>
      <c r="F358" s="34">
        <v>2</v>
      </c>
      <c r="G358" s="34">
        <v>2</v>
      </c>
      <c r="H358" s="51" t="s">
        <v>257</v>
      </c>
      <c r="I358" s="34" t="s">
        <v>255</v>
      </c>
      <c r="J358" s="52">
        <v>0</v>
      </c>
      <c r="K358" s="52">
        <v>191.3</v>
      </c>
      <c r="L358" s="52">
        <v>136.7</v>
      </c>
      <c r="M358" s="67">
        <v>23</v>
      </c>
      <c r="N358" s="67">
        <v>0</v>
      </c>
      <c r="O358" s="67">
        <v>0</v>
      </c>
      <c r="P358" s="67">
        <v>0</v>
      </c>
      <c r="Q358" s="67">
        <v>0</v>
      </c>
      <c r="R358" s="67">
        <v>0</v>
      </c>
      <c r="S358" s="67">
        <v>0</v>
      </c>
      <c r="T358" s="67">
        <v>0</v>
      </c>
      <c r="U358" s="52">
        <f>SUM(J358:T358)</f>
        <v>351</v>
      </c>
      <c r="V358" s="34">
        <v>2019</v>
      </c>
      <c r="W358" s="4">
        <f t="shared" si="97"/>
        <v>0</v>
      </c>
      <c r="X358" s="4">
        <f t="shared" si="98"/>
        <v>0</v>
      </c>
      <c r="Y358" s="4"/>
      <c r="Z358" s="3"/>
    </row>
    <row r="359" spans="1:24" ht="25.5">
      <c r="A359" s="33" t="s">
        <v>254</v>
      </c>
      <c r="B359" s="34">
        <v>1</v>
      </c>
      <c r="C359" s="34">
        <v>3</v>
      </c>
      <c r="D359" s="34">
        <v>2</v>
      </c>
      <c r="E359" s="34">
        <v>0</v>
      </c>
      <c r="F359" s="34">
        <v>2</v>
      </c>
      <c r="G359" s="35"/>
      <c r="H359" s="39" t="s">
        <v>21</v>
      </c>
      <c r="I359" s="179" t="s">
        <v>294</v>
      </c>
      <c r="J359" s="128">
        <f>195+117</f>
        <v>312</v>
      </c>
      <c r="K359" s="128">
        <f>9+88</f>
        <v>97</v>
      </c>
      <c r="L359" s="113">
        <v>443</v>
      </c>
      <c r="M359" s="129">
        <v>167</v>
      </c>
      <c r="N359" s="129">
        <v>28</v>
      </c>
      <c r="O359" s="129">
        <v>0</v>
      </c>
      <c r="P359" s="129">
        <v>176</v>
      </c>
      <c r="Q359" s="129">
        <v>944</v>
      </c>
      <c r="R359" s="129">
        <v>0</v>
      </c>
      <c r="S359" s="129">
        <v>117</v>
      </c>
      <c r="T359" s="129">
        <v>117</v>
      </c>
      <c r="U359" s="47">
        <f>J359+K359+L359+M359+O359+Q359+R359+S359+T359</f>
        <v>2197</v>
      </c>
      <c r="V359" s="120">
        <v>2024</v>
      </c>
      <c r="W359" s="4">
        <f t="shared" si="97"/>
        <v>-28</v>
      </c>
      <c r="X359" s="4">
        <f t="shared" si="98"/>
        <v>768</v>
      </c>
    </row>
    <row r="360" spans="1:24" ht="51">
      <c r="A360" s="33" t="s">
        <v>254</v>
      </c>
      <c r="B360" s="34">
        <v>1</v>
      </c>
      <c r="C360" s="34">
        <v>3</v>
      </c>
      <c r="D360" s="34">
        <v>2</v>
      </c>
      <c r="E360" s="34">
        <v>0</v>
      </c>
      <c r="F360" s="34">
        <v>2</v>
      </c>
      <c r="G360" s="35"/>
      <c r="H360" s="39" t="s">
        <v>22</v>
      </c>
      <c r="I360" s="179" t="s">
        <v>294</v>
      </c>
      <c r="J360" s="128">
        <v>180</v>
      </c>
      <c r="K360" s="128">
        <v>12</v>
      </c>
      <c r="L360" s="113">
        <v>47</v>
      </c>
      <c r="M360" s="129">
        <v>21</v>
      </c>
      <c r="N360" s="129">
        <v>7</v>
      </c>
      <c r="O360" s="129">
        <v>0</v>
      </c>
      <c r="P360" s="129">
        <v>0</v>
      </c>
      <c r="Q360" s="129">
        <v>0</v>
      </c>
      <c r="R360" s="129">
        <v>3</v>
      </c>
      <c r="S360" s="129">
        <v>0</v>
      </c>
      <c r="T360" s="129">
        <v>0</v>
      </c>
      <c r="U360" s="47">
        <f>J360+K360+L360+M360+O360+Q360+R360+S360+T360</f>
        <v>263</v>
      </c>
      <c r="V360" s="120">
        <v>2022</v>
      </c>
      <c r="W360" s="4">
        <f t="shared" si="97"/>
        <v>-7</v>
      </c>
      <c r="X360" s="4">
        <f t="shared" si="98"/>
        <v>0</v>
      </c>
    </row>
    <row r="361" spans="1:24" ht="25.5">
      <c r="A361" s="33" t="s">
        <v>254</v>
      </c>
      <c r="B361" s="34">
        <v>1</v>
      </c>
      <c r="C361" s="34">
        <v>3</v>
      </c>
      <c r="D361" s="34">
        <v>2</v>
      </c>
      <c r="E361" s="34">
        <v>0</v>
      </c>
      <c r="F361" s="34">
        <v>2</v>
      </c>
      <c r="G361" s="35"/>
      <c r="H361" s="39" t="s">
        <v>23</v>
      </c>
      <c r="I361" s="179" t="s">
        <v>17</v>
      </c>
      <c r="J361" s="130">
        <f>3312+120</f>
        <v>3432</v>
      </c>
      <c r="K361" s="130">
        <v>2241.4</v>
      </c>
      <c r="L361" s="113">
        <f>412-20</f>
        <v>392</v>
      </c>
      <c r="M361" s="131">
        <v>1129</v>
      </c>
      <c r="N361" s="131">
        <v>293</v>
      </c>
      <c r="O361" s="131">
        <v>0</v>
      </c>
      <c r="P361" s="131">
        <v>0</v>
      </c>
      <c r="Q361" s="131">
        <v>0</v>
      </c>
      <c r="R361" s="131">
        <v>0</v>
      </c>
      <c r="S361" s="131">
        <v>0</v>
      </c>
      <c r="T361" s="131">
        <v>0</v>
      </c>
      <c r="U361" s="47">
        <f>J361+K361+L361+M361+O361+Q361+R361+S361+T361</f>
        <v>7194</v>
      </c>
      <c r="V361" s="120">
        <v>2019</v>
      </c>
      <c r="W361" s="4">
        <f t="shared" si="97"/>
        <v>-293</v>
      </c>
      <c r="X361" s="4">
        <f t="shared" si="98"/>
        <v>0</v>
      </c>
    </row>
    <row r="362" spans="1:24" ht="25.5">
      <c r="A362" s="33" t="s">
        <v>254</v>
      </c>
      <c r="B362" s="34">
        <v>1</v>
      </c>
      <c r="C362" s="34">
        <v>3</v>
      </c>
      <c r="D362" s="34">
        <v>2</v>
      </c>
      <c r="E362" s="34">
        <v>0</v>
      </c>
      <c r="F362" s="34">
        <v>2</v>
      </c>
      <c r="G362" s="35"/>
      <c r="H362" s="39" t="s">
        <v>25</v>
      </c>
      <c r="I362" s="179" t="s">
        <v>17</v>
      </c>
      <c r="J362" s="130">
        <f>388+14.4</f>
        <v>402.4</v>
      </c>
      <c r="K362" s="130">
        <v>0</v>
      </c>
      <c r="L362" s="113">
        <v>1938</v>
      </c>
      <c r="M362" s="132">
        <v>900</v>
      </c>
      <c r="N362" s="132">
        <v>0</v>
      </c>
      <c r="O362" s="132">
        <f>5+2176</f>
        <v>2181</v>
      </c>
      <c r="P362" s="132">
        <v>0</v>
      </c>
      <c r="Q362" s="132">
        <v>121</v>
      </c>
      <c r="R362" s="132">
        <v>0</v>
      </c>
      <c r="S362" s="132">
        <v>0</v>
      </c>
      <c r="T362" s="132">
        <v>0</v>
      </c>
      <c r="U362" s="47">
        <f>J362+K362+L362+M362+O362+Q362+R362+S362+T362</f>
        <v>5542</v>
      </c>
      <c r="V362" s="120">
        <v>2021</v>
      </c>
      <c r="W362" s="4">
        <f t="shared" si="97"/>
        <v>2181</v>
      </c>
      <c r="X362" s="4">
        <f t="shared" si="98"/>
        <v>121</v>
      </c>
    </row>
    <row r="363" spans="1:24" ht="63.75">
      <c r="A363" s="33" t="s">
        <v>254</v>
      </c>
      <c r="B363" s="34">
        <v>1</v>
      </c>
      <c r="C363" s="34">
        <v>3</v>
      </c>
      <c r="D363" s="34">
        <v>2</v>
      </c>
      <c r="E363" s="34">
        <v>0</v>
      </c>
      <c r="F363" s="34">
        <v>2</v>
      </c>
      <c r="G363" s="35"/>
      <c r="H363" s="39" t="s">
        <v>236</v>
      </c>
      <c r="I363" s="179" t="s">
        <v>294</v>
      </c>
      <c r="J363" s="130">
        <v>0</v>
      </c>
      <c r="K363" s="130">
        <v>0</v>
      </c>
      <c r="L363" s="113">
        <v>0</v>
      </c>
      <c r="M363" s="132">
        <v>0</v>
      </c>
      <c r="N363" s="132">
        <v>0</v>
      </c>
      <c r="O363" s="132">
        <v>15</v>
      </c>
      <c r="P363" s="132">
        <v>0</v>
      </c>
      <c r="Q363" s="132">
        <v>0</v>
      </c>
      <c r="R363" s="132">
        <v>16</v>
      </c>
      <c r="S363" s="132">
        <v>0</v>
      </c>
      <c r="T363" s="132">
        <v>0</v>
      </c>
      <c r="U363" s="40">
        <f>R363</f>
        <v>16</v>
      </c>
      <c r="V363" s="120">
        <v>2022</v>
      </c>
      <c r="W363" s="4">
        <f t="shared" si="97"/>
        <v>15</v>
      </c>
      <c r="X363" s="4">
        <f t="shared" si="98"/>
        <v>0</v>
      </c>
    </row>
    <row r="364" spans="1:26" s="22" customFormat="1" ht="38.25">
      <c r="A364" s="31" t="s">
        <v>254</v>
      </c>
      <c r="B364" s="32">
        <v>1</v>
      </c>
      <c r="C364" s="32">
        <v>3</v>
      </c>
      <c r="D364" s="32">
        <v>3</v>
      </c>
      <c r="E364" s="32">
        <v>0</v>
      </c>
      <c r="F364" s="32">
        <v>0</v>
      </c>
      <c r="G364" s="32"/>
      <c r="H364" s="30" t="s">
        <v>356</v>
      </c>
      <c r="I364" s="32" t="s">
        <v>255</v>
      </c>
      <c r="J364" s="68">
        <f aca="true" t="shared" si="113" ref="J364:T364">J365</f>
        <v>11707.8</v>
      </c>
      <c r="K364" s="68">
        <f t="shared" si="113"/>
        <v>21865.7</v>
      </c>
      <c r="L364" s="68">
        <f t="shared" si="113"/>
        <v>32914.3</v>
      </c>
      <c r="M364" s="68">
        <f t="shared" si="113"/>
        <v>14601.7</v>
      </c>
      <c r="N364" s="68">
        <f t="shared" si="113"/>
        <v>11214.1</v>
      </c>
      <c r="O364" s="68">
        <f t="shared" si="113"/>
        <v>6774.1</v>
      </c>
      <c r="P364" s="68">
        <f t="shared" si="113"/>
        <v>8724.4</v>
      </c>
      <c r="Q364" s="68">
        <f t="shared" si="113"/>
        <v>6852.4</v>
      </c>
      <c r="R364" s="68">
        <f t="shared" si="113"/>
        <v>6852.4</v>
      </c>
      <c r="S364" s="68">
        <f t="shared" si="113"/>
        <v>6852.4</v>
      </c>
      <c r="T364" s="68">
        <f t="shared" si="113"/>
        <v>6852.4</v>
      </c>
      <c r="U364" s="68">
        <f>J364+K364+L364+M364+O364+Q364+R364+S364+T364</f>
        <v>115273.2</v>
      </c>
      <c r="V364" s="32">
        <v>2024</v>
      </c>
      <c r="W364" s="4">
        <f t="shared" si="97"/>
        <v>-4440</v>
      </c>
      <c r="X364" s="4">
        <f t="shared" si="98"/>
        <v>-1872</v>
      </c>
      <c r="Y364" s="20"/>
      <c r="Z364" s="21"/>
    </row>
    <row r="365" spans="1:26" s="22" customFormat="1" ht="12.75">
      <c r="A365" s="33" t="s">
        <v>254</v>
      </c>
      <c r="B365" s="34">
        <v>1</v>
      </c>
      <c r="C365" s="34">
        <v>3</v>
      </c>
      <c r="D365" s="34">
        <v>3</v>
      </c>
      <c r="E365" s="34">
        <v>0</v>
      </c>
      <c r="F365" s="34">
        <v>0</v>
      </c>
      <c r="G365" s="34">
        <v>3</v>
      </c>
      <c r="H365" s="51" t="s">
        <v>256</v>
      </c>
      <c r="I365" s="34" t="s">
        <v>255</v>
      </c>
      <c r="J365" s="133">
        <f>J379+J375</f>
        <v>11707.8</v>
      </c>
      <c r="K365" s="133">
        <f aca="true" t="shared" si="114" ref="K365:T365">K379+K375</f>
        <v>21865.7</v>
      </c>
      <c r="L365" s="133">
        <f t="shared" si="114"/>
        <v>32914.3</v>
      </c>
      <c r="M365" s="133">
        <f t="shared" si="114"/>
        <v>14601.7</v>
      </c>
      <c r="N365" s="133">
        <f t="shared" si="114"/>
        <v>11214.1</v>
      </c>
      <c r="O365" s="133">
        <f t="shared" si="114"/>
        <v>6774.1</v>
      </c>
      <c r="P365" s="133">
        <f t="shared" si="114"/>
        <v>8724.4</v>
      </c>
      <c r="Q365" s="133">
        <f t="shared" si="114"/>
        <v>6852.4</v>
      </c>
      <c r="R365" s="133">
        <f t="shared" si="114"/>
        <v>6852.4</v>
      </c>
      <c r="S365" s="133">
        <f t="shared" si="114"/>
        <v>6852.4</v>
      </c>
      <c r="T365" s="133">
        <f t="shared" si="114"/>
        <v>6852.4</v>
      </c>
      <c r="U365" s="53">
        <f>J365+K365+L365+M365+O365+Q365+R365+S365+T365</f>
        <v>115273.2</v>
      </c>
      <c r="V365" s="88">
        <v>2024</v>
      </c>
      <c r="W365" s="4">
        <f t="shared" si="97"/>
        <v>-4440</v>
      </c>
      <c r="X365" s="4">
        <f t="shared" si="98"/>
        <v>-1872</v>
      </c>
      <c r="Y365" s="20"/>
      <c r="Z365" s="21"/>
    </row>
    <row r="366" spans="1:26" s="24" customFormat="1" ht="63.75">
      <c r="A366" s="33" t="s">
        <v>254</v>
      </c>
      <c r="B366" s="34">
        <v>1</v>
      </c>
      <c r="C366" s="34">
        <v>3</v>
      </c>
      <c r="D366" s="34">
        <v>3</v>
      </c>
      <c r="E366" s="34">
        <v>0</v>
      </c>
      <c r="F366" s="34">
        <v>0</v>
      </c>
      <c r="G366" s="35"/>
      <c r="H366" s="39" t="s">
        <v>357</v>
      </c>
      <c r="I366" s="35" t="s">
        <v>260</v>
      </c>
      <c r="J366" s="40">
        <v>100</v>
      </c>
      <c r="K366" s="40">
        <v>93.5</v>
      </c>
      <c r="L366" s="40">
        <v>93.5</v>
      </c>
      <c r="M366" s="41">
        <v>94.4</v>
      </c>
      <c r="N366" s="110">
        <v>94.4</v>
      </c>
      <c r="O366" s="41">
        <v>93.5</v>
      </c>
      <c r="P366" s="110">
        <v>95.4</v>
      </c>
      <c r="Q366" s="41">
        <v>93.5</v>
      </c>
      <c r="R366" s="41">
        <v>93.5</v>
      </c>
      <c r="S366" s="41">
        <v>93.5</v>
      </c>
      <c r="T366" s="41">
        <v>93.5</v>
      </c>
      <c r="U366" s="35">
        <v>93.5</v>
      </c>
      <c r="V366" s="90">
        <v>2024</v>
      </c>
      <c r="W366" s="4">
        <f t="shared" si="97"/>
        <v>-0.9</v>
      </c>
      <c r="X366" s="4">
        <f t="shared" si="98"/>
        <v>-1.9</v>
      </c>
      <c r="Y366" s="23"/>
      <c r="Z366" s="23"/>
    </row>
    <row r="367" spans="1:26" s="24" customFormat="1" ht="63.75">
      <c r="A367" s="33" t="s">
        <v>254</v>
      </c>
      <c r="B367" s="34">
        <v>1</v>
      </c>
      <c r="C367" s="34">
        <v>3</v>
      </c>
      <c r="D367" s="34">
        <v>3</v>
      </c>
      <c r="E367" s="34">
        <v>0</v>
      </c>
      <c r="F367" s="34">
        <v>0</v>
      </c>
      <c r="G367" s="35"/>
      <c r="H367" s="39" t="s">
        <v>412</v>
      </c>
      <c r="I367" s="35" t="s">
        <v>260</v>
      </c>
      <c r="J367" s="40">
        <v>100</v>
      </c>
      <c r="K367" s="42">
        <v>96.3</v>
      </c>
      <c r="L367" s="42">
        <v>96.3</v>
      </c>
      <c r="M367" s="42">
        <v>96.3</v>
      </c>
      <c r="N367" s="110">
        <v>96.3</v>
      </c>
      <c r="O367" s="42">
        <v>96.3</v>
      </c>
      <c r="P367" s="110">
        <v>97.2</v>
      </c>
      <c r="Q367" s="40">
        <v>96.3</v>
      </c>
      <c r="R367" s="40">
        <v>96.3</v>
      </c>
      <c r="S367" s="40">
        <v>96.3</v>
      </c>
      <c r="T367" s="40">
        <v>96.3</v>
      </c>
      <c r="U367" s="35">
        <v>96.3</v>
      </c>
      <c r="V367" s="90">
        <v>2019</v>
      </c>
      <c r="W367" s="4">
        <f t="shared" si="97"/>
        <v>0</v>
      </c>
      <c r="X367" s="4">
        <f t="shared" si="98"/>
        <v>-0.9</v>
      </c>
      <c r="Y367" s="23"/>
      <c r="Z367" s="23"/>
    </row>
    <row r="368" spans="1:26" s="24" customFormat="1" ht="51">
      <c r="A368" s="33" t="s">
        <v>254</v>
      </c>
      <c r="B368" s="34">
        <v>1</v>
      </c>
      <c r="C368" s="34">
        <v>3</v>
      </c>
      <c r="D368" s="34">
        <v>3</v>
      </c>
      <c r="E368" s="34">
        <v>0</v>
      </c>
      <c r="F368" s="34">
        <v>0</v>
      </c>
      <c r="G368" s="35"/>
      <c r="H368" s="39" t="s">
        <v>358</v>
      </c>
      <c r="I368" s="35" t="s">
        <v>260</v>
      </c>
      <c r="J368" s="40">
        <v>100</v>
      </c>
      <c r="K368" s="42">
        <v>80.7</v>
      </c>
      <c r="L368" s="42">
        <v>83.1</v>
      </c>
      <c r="M368" s="40">
        <v>88.1</v>
      </c>
      <c r="N368" s="56">
        <v>88.1</v>
      </c>
      <c r="O368" s="40">
        <v>87.3</v>
      </c>
      <c r="P368" s="56">
        <v>88.1</v>
      </c>
      <c r="Q368" s="40">
        <v>87.3</v>
      </c>
      <c r="R368" s="40">
        <v>87.3</v>
      </c>
      <c r="S368" s="40">
        <v>87.3</v>
      </c>
      <c r="T368" s="40">
        <v>87.3</v>
      </c>
      <c r="U368" s="42">
        <v>88.9</v>
      </c>
      <c r="V368" s="90">
        <v>2023</v>
      </c>
      <c r="W368" s="4">
        <f t="shared" si="97"/>
        <v>-0.8</v>
      </c>
      <c r="X368" s="4">
        <f t="shared" si="98"/>
        <v>-0.8</v>
      </c>
      <c r="Y368" s="23"/>
      <c r="Z368" s="23"/>
    </row>
    <row r="369" spans="1:26" s="24" customFormat="1" ht="140.25">
      <c r="A369" s="33" t="s">
        <v>254</v>
      </c>
      <c r="B369" s="34">
        <v>1</v>
      </c>
      <c r="C369" s="34">
        <v>3</v>
      </c>
      <c r="D369" s="34">
        <v>3</v>
      </c>
      <c r="E369" s="34">
        <v>0</v>
      </c>
      <c r="F369" s="34">
        <v>0</v>
      </c>
      <c r="G369" s="35"/>
      <c r="H369" s="39" t="s">
        <v>359</v>
      </c>
      <c r="I369" s="35" t="s">
        <v>260</v>
      </c>
      <c r="J369" s="40">
        <v>51.5</v>
      </c>
      <c r="K369" s="42">
        <v>36.7</v>
      </c>
      <c r="L369" s="42">
        <v>42.4</v>
      </c>
      <c r="M369" s="42">
        <v>47.5</v>
      </c>
      <c r="N369" s="56">
        <v>54.7</v>
      </c>
      <c r="O369" s="40">
        <v>48.9</v>
      </c>
      <c r="P369" s="56">
        <v>60.4</v>
      </c>
      <c r="Q369" s="56">
        <v>59.7</v>
      </c>
      <c r="R369" s="42">
        <v>65.5</v>
      </c>
      <c r="S369" s="42">
        <v>66.9</v>
      </c>
      <c r="T369" s="42">
        <v>68.3</v>
      </c>
      <c r="U369" s="42">
        <f>(J369+K369+L369+M369+O369+Q369+R369+S369+T369)/9</f>
        <v>54.2</v>
      </c>
      <c r="V369" s="90">
        <v>2024</v>
      </c>
      <c r="W369" s="4">
        <f t="shared" si="97"/>
        <v>-5.8</v>
      </c>
      <c r="X369" s="4">
        <f t="shared" si="98"/>
        <v>-0.7</v>
      </c>
      <c r="Y369" s="23"/>
      <c r="Z369" s="23"/>
    </row>
    <row r="370" spans="1:26" s="24" customFormat="1" ht="114.75">
      <c r="A370" s="33" t="s">
        <v>254</v>
      </c>
      <c r="B370" s="34">
        <v>1</v>
      </c>
      <c r="C370" s="34">
        <v>3</v>
      </c>
      <c r="D370" s="34">
        <v>3</v>
      </c>
      <c r="E370" s="34">
        <v>0</v>
      </c>
      <c r="F370" s="34">
        <v>0</v>
      </c>
      <c r="G370" s="35"/>
      <c r="H370" s="39" t="s">
        <v>360</v>
      </c>
      <c r="I370" s="35" t="s">
        <v>260</v>
      </c>
      <c r="J370" s="40">
        <v>58.4</v>
      </c>
      <c r="K370" s="42">
        <v>18.5</v>
      </c>
      <c r="L370" s="42">
        <v>34.3</v>
      </c>
      <c r="M370" s="42">
        <v>38</v>
      </c>
      <c r="N370" s="56">
        <v>38</v>
      </c>
      <c r="O370" s="40">
        <v>38</v>
      </c>
      <c r="P370" s="56">
        <v>38</v>
      </c>
      <c r="Q370" s="40">
        <v>38</v>
      </c>
      <c r="R370" s="40">
        <v>38</v>
      </c>
      <c r="S370" s="40">
        <v>38</v>
      </c>
      <c r="T370" s="40">
        <v>38</v>
      </c>
      <c r="U370" s="42">
        <v>38</v>
      </c>
      <c r="V370" s="90">
        <v>2024</v>
      </c>
      <c r="W370" s="4">
        <f t="shared" si="97"/>
        <v>0</v>
      </c>
      <c r="X370" s="4">
        <f t="shared" si="98"/>
        <v>0</v>
      </c>
      <c r="Y370" s="23"/>
      <c r="Z370" s="23"/>
    </row>
    <row r="371" spans="1:26" s="24" customFormat="1" ht="76.5">
      <c r="A371" s="33" t="s">
        <v>254</v>
      </c>
      <c r="B371" s="34">
        <v>1</v>
      </c>
      <c r="C371" s="34">
        <v>3</v>
      </c>
      <c r="D371" s="34">
        <v>3</v>
      </c>
      <c r="E371" s="34">
        <v>0</v>
      </c>
      <c r="F371" s="34">
        <v>0</v>
      </c>
      <c r="G371" s="35"/>
      <c r="H371" s="39" t="s">
        <v>361</v>
      </c>
      <c r="I371" s="35" t="s">
        <v>260</v>
      </c>
      <c r="J371" s="40">
        <v>0</v>
      </c>
      <c r="K371" s="40">
        <v>0</v>
      </c>
      <c r="L371" s="40">
        <v>100</v>
      </c>
      <c r="M371" s="41">
        <v>100</v>
      </c>
      <c r="N371" s="56">
        <v>100</v>
      </c>
      <c r="O371" s="41">
        <v>100</v>
      </c>
      <c r="P371" s="56">
        <v>100</v>
      </c>
      <c r="Q371" s="41">
        <v>100</v>
      </c>
      <c r="R371" s="41">
        <v>100</v>
      </c>
      <c r="S371" s="41">
        <v>100</v>
      </c>
      <c r="T371" s="41">
        <v>100</v>
      </c>
      <c r="U371" s="42">
        <v>100</v>
      </c>
      <c r="V371" s="90">
        <v>2024</v>
      </c>
      <c r="W371" s="4">
        <f t="shared" si="97"/>
        <v>0</v>
      </c>
      <c r="X371" s="4">
        <f t="shared" si="98"/>
        <v>0</v>
      </c>
      <c r="Y371" s="23"/>
      <c r="Z371" s="23"/>
    </row>
    <row r="372" spans="1:26" s="24" customFormat="1" ht="63.75">
      <c r="A372" s="36" t="s">
        <v>254</v>
      </c>
      <c r="B372" s="37">
        <v>1</v>
      </c>
      <c r="C372" s="37">
        <v>3</v>
      </c>
      <c r="D372" s="37">
        <v>3</v>
      </c>
      <c r="E372" s="37">
        <v>0</v>
      </c>
      <c r="F372" s="37">
        <v>1</v>
      </c>
      <c r="G372" s="38"/>
      <c r="H372" s="43" t="s">
        <v>362</v>
      </c>
      <c r="I372" s="38" t="s">
        <v>279</v>
      </c>
      <c r="J372" s="44" t="s">
        <v>280</v>
      </c>
      <c r="K372" s="44" t="s">
        <v>280</v>
      </c>
      <c r="L372" s="44" t="s">
        <v>280</v>
      </c>
      <c r="M372" s="46" t="s">
        <v>280</v>
      </c>
      <c r="N372" s="46" t="s">
        <v>280</v>
      </c>
      <c r="O372" s="46" t="s">
        <v>280</v>
      </c>
      <c r="P372" s="46" t="s">
        <v>280</v>
      </c>
      <c r="Q372" s="46" t="s">
        <v>280</v>
      </c>
      <c r="R372" s="46" t="s">
        <v>280</v>
      </c>
      <c r="S372" s="46" t="s">
        <v>280</v>
      </c>
      <c r="T372" s="46" t="s">
        <v>280</v>
      </c>
      <c r="U372" s="46" t="s">
        <v>280</v>
      </c>
      <c r="V372" s="38">
        <v>2024</v>
      </c>
      <c r="W372" s="4"/>
      <c r="X372" s="4"/>
      <c r="Y372" s="23"/>
      <c r="Z372" s="23"/>
    </row>
    <row r="373" spans="1:26" s="24" customFormat="1" ht="38.25">
      <c r="A373" s="33" t="s">
        <v>254</v>
      </c>
      <c r="B373" s="34">
        <v>1</v>
      </c>
      <c r="C373" s="34">
        <v>3</v>
      </c>
      <c r="D373" s="34">
        <v>3</v>
      </c>
      <c r="E373" s="34">
        <v>0</v>
      </c>
      <c r="F373" s="34">
        <v>1</v>
      </c>
      <c r="G373" s="35"/>
      <c r="H373" s="39" t="s">
        <v>363</v>
      </c>
      <c r="I373" s="35" t="s">
        <v>294</v>
      </c>
      <c r="J373" s="47">
        <v>3</v>
      </c>
      <c r="K373" s="48">
        <v>3</v>
      </c>
      <c r="L373" s="48">
        <v>3</v>
      </c>
      <c r="M373" s="48">
        <v>3</v>
      </c>
      <c r="N373" s="56">
        <v>3</v>
      </c>
      <c r="O373" s="47">
        <v>3</v>
      </c>
      <c r="P373" s="56">
        <v>3</v>
      </c>
      <c r="Q373" s="47">
        <v>3</v>
      </c>
      <c r="R373" s="47">
        <v>3</v>
      </c>
      <c r="S373" s="47">
        <v>3</v>
      </c>
      <c r="T373" s="47">
        <v>3</v>
      </c>
      <c r="U373" s="42">
        <f>J373+K373+L373+M373+O373+Q373+R373+S373+T373</f>
        <v>27</v>
      </c>
      <c r="V373" s="90">
        <v>2024</v>
      </c>
      <c r="W373" s="4">
        <f t="shared" si="97"/>
        <v>0</v>
      </c>
      <c r="X373" s="4">
        <f t="shared" si="98"/>
        <v>0</v>
      </c>
      <c r="Y373" s="23"/>
      <c r="Z373" s="23"/>
    </row>
    <row r="374" spans="1:26" s="24" customFormat="1" ht="38.25">
      <c r="A374" s="36" t="s">
        <v>254</v>
      </c>
      <c r="B374" s="37">
        <v>1</v>
      </c>
      <c r="C374" s="37">
        <v>3</v>
      </c>
      <c r="D374" s="37">
        <v>3</v>
      </c>
      <c r="E374" s="37">
        <v>0</v>
      </c>
      <c r="F374" s="37">
        <v>2</v>
      </c>
      <c r="G374" s="37"/>
      <c r="H374" s="49" t="s">
        <v>413</v>
      </c>
      <c r="I374" s="37" t="s">
        <v>255</v>
      </c>
      <c r="J374" s="45">
        <f aca="true" t="shared" si="115" ref="J374:T374">J375</f>
        <v>1928.4</v>
      </c>
      <c r="K374" s="45">
        <f t="shared" si="115"/>
        <v>0</v>
      </c>
      <c r="L374" s="45">
        <f t="shared" si="115"/>
        <v>1850.7</v>
      </c>
      <c r="M374" s="50">
        <f t="shared" si="115"/>
        <v>1899.8</v>
      </c>
      <c r="N374" s="50">
        <f t="shared" si="115"/>
        <v>1872</v>
      </c>
      <c r="O374" s="50">
        <f t="shared" si="115"/>
        <v>0</v>
      </c>
      <c r="P374" s="50">
        <f t="shared" si="115"/>
        <v>1872</v>
      </c>
      <c r="Q374" s="50">
        <f t="shared" si="115"/>
        <v>0</v>
      </c>
      <c r="R374" s="50">
        <f t="shared" si="115"/>
        <v>0</v>
      </c>
      <c r="S374" s="50">
        <f t="shared" si="115"/>
        <v>0</v>
      </c>
      <c r="T374" s="50">
        <f t="shared" si="115"/>
        <v>0</v>
      </c>
      <c r="U374" s="50">
        <f>J374+K374+L374+M374+O374+Q374+R374+S374+T374</f>
        <v>5678.9</v>
      </c>
      <c r="V374" s="37">
        <v>2024</v>
      </c>
      <c r="W374" s="4">
        <f t="shared" si="97"/>
        <v>-1872</v>
      </c>
      <c r="X374" s="4">
        <f t="shared" si="98"/>
        <v>-1872</v>
      </c>
      <c r="Y374" s="23"/>
      <c r="Z374" s="23"/>
    </row>
    <row r="375" spans="1:26" s="24" customFormat="1" ht="12.75">
      <c r="A375" s="33" t="s">
        <v>254</v>
      </c>
      <c r="B375" s="34">
        <v>1</v>
      </c>
      <c r="C375" s="34">
        <v>3</v>
      </c>
      <c r="D375" s="34">
        <v>3</v>
      </c>
      <c r="E375" s="34">
        <v>0</v>
      </c>
      <c r="F375" s="34">
        <v>2</v>
      </c>
      <c r="G375" s="34">
        <v>3</v>
      </c>
      <c r="H375" s="51" t="s">
        <v>256</v>
      </c>
      <c r="I375" s="34" t="s">
        <v>255</v>
      </c>
      <c r="J375" s="52">
        <f>1966.8-38.4</f>
        <v>1928.4</v>
      </c>
      <c r="K375" s="52">
        <v>0</v>
      </c>
      <c r="L375" s="53">
        <v>1850.7</v>
      </c>
      <c r="M375" s="53">
        <v>1899.8</v>
      </c>
      <c r="N375" s="42">
        <v>1872</v>
      </c>
      <c r="O375" s="52">
        <v>0</v>
      </c>
      <c r="P375" s="40">
        <v>1872</v>
      </c>
      <c r="Q375" s="52">
        <v>0</v>
      </c>
      <c r="R375" s="53">
        <v>0</v>
      </c>
      <c r="S375" s="53">
        <v>0</v>
      </c>
      <c r="T375" s="53">
        <v>0</v>
      </c>
      <c r="U375" s="40">
        <f>J375+K375+L375+M375+O375+Q375+R375+S375+T375</f>
        <v>5678.9</v>
      </c>
      <c r="V375" s="90">
        <v>2024</v>
      </c>
      <c r="W375" s="4">
        <f t="shared" si="97"/>
        <v>-1872</v>
      </c>
      <c r="X375" s="4">
        <f t="shared" si="98"/>
        <v>-1872</v>
      </c>
      <c r="Y375" s="23"/>
      <c r="Z375" s="23"/>
    </row>
    <row r="376" spans="1:26" s="24" customFormat="1" ht="51">
      <c r="A376" s="33" t="s">
        <v>254</v>
      </c>
      <c r="B376" s="34">
        <v>1</v>
      </c>
      <c r="C376" s="34">
        <v>3</v>
      </c>
      <c r="D376" s="34">
        <v>3</v>
      </c>
      <c r="E376" s="34">
        <v>0</v>
      </c>
      <c r="F376" s="34">
        <v>2</v>
      </c>
      <c r="G376" s="35"/>
      <c r="H376" s="54" t="s">
        <v>364</v>
      </c>
      <c r="I376" s="35" t="s">
        <v>294</v>
      </c>
      <c r="J376" s="47">
        <v>9</v>
      </c>
      <c r="K376" s="47">
        <v>0</v>
      </c>
      <c r="L376" s="48">
        <v>0</v>
      </c>
      <c r="M376" s="48">
        <v>0</v>
      </c>
      <c r="N376" s="56">
        <v>0</v>
      </c>
      <c r="O376" s="58">
        <v>0</v>
      </c>
      <c r="P376" s="56">
        <v>1</v>
      </c>
      <c r="Q376" s="58">
        <v>0</v>
      </c>
      <c r="R376" s="58">
        <v>0</v>
      </c>
      <c r="S376" s="58">
        <v>0</v>
      </c>
      <c r="T376" s="58">
        <v>0</v>
      </c>
      <c r="U376" s="56" t="s">
        <v>280</v>
      </c>
      <c r="V376" s="110">
        <v>2024</v>
      </c>
      <c r="W376" s="4">
        <f t="shared" si="97"/>
        <v>0</v>
      </c>
      <c r="X376" s="4">
        <f t="shared" si="98"/>
        <v>-1</v>
      </c>
      <c r="Y376" s="23"/>
      <c r="Z376" s="23"/>
    </row>
    <row r="377" spans="1:26" s="24" customFormat="1" ht="51">
      <c r="A377" s="33" t="s">
        <v>254</v>
      </c>
      <c r="B377" s="34">
        <v>1</v>
      </c>
      <c r="C377" s="34">
        <v>3</v>
      </c>
      <c r="D377" s="34">
        <v>3</v>
      </c>
      <c r="E377" s="34">
        <v>0</v>
      </c>
      <c r="F377" s="34">
        <v>2</v>
      </c>
      <c r="G377" s="35"/>
      <c r="H377" s="54" t="s">
        <v>365</v>
      </c>
      <c r="I377" s="35" t="s">
        <v>294</v>
      </c>
      <c r="J377" s="47">
        <v>104</v>
      </c>
      <c r="K377" s="47">
        <v>104</v>
      </c>
      <c r="L377" s="48">
        <v>104</v>
      </c>
      <c r="M377" s="48">
        <v>104</v>
      </c>
      <c r="N377" s="70">
        <v>104</v>
      </c>
      <c r="O377" s="47">
        <v>0</v>
      </c>
      <c r="P377" s="70">
        <v>104</v>
      </c>
      <c r="Q377" s="47">
        <v>0</v>
      </c>
      <c r="R377" s="48">
        <v>0</v>
      </c>
      <c r="S377" s="48">
        <v>0</v>
      </c>
      <c r="T377" s="48">
        <v>0</v>
      </c>
      <c r="U377" s="47">
        <f>SUM(J377:T377)</f>
        <v>624</v>
      </c>
      <c r="V377" s="35">
        <v>2024</v>
      </c>
      <c r="W377" s="4">
        <f t="shared" si="97"/>
        <v>-104</v>
      </c>
      <c r="X377" s="4">
        <f t="shared" si="98"/>
        <v>-104</v>
      </c>
      <c r="Y377" s="23"/>
      <c r="Z377" s="23"/>
    </row>
    <row r="378" spans="1:26" s="22" customFormat="1" ht="63.75">
      <c r="A378" s="36" t="s">
        <v>254</v>
      </c>
      <c r="B378" s="37">
        <v>1</v>
      </c>
      <c r="C378" s="37">
        <v>3</v>
      </c>
      <c r="D378" s="37">
        <v>3</v>
      </c>
      <c r="E378" s="37">
        <v>0</v>
      </c>
      <c r="F378" s="37">
        <v>3</v>
      </c>
      <c r="G378" s="37"/>
      <c r="H378" s="49" t="s">
        <v>414</v>
      </c>
      <c r="I378" s="37" t="s">
        <v>255</v>
      </c>
      <c r="J378" s="45">
        <f aca="true" t="shared" si="116" ref="J378:T378">J379</f>
        <v>9779.4</v>
      </c>
      <c r="K378" s="45">
        <f t="shared" si="116"/>
        <v>21865.7</v>
      </c>
      <c r="L378" s="45">
        <f t="shared" si="116"/>
        <v>31063.6</v>
      </c>
      <c r="M378" s="50">
        <f t="shared" si="116"/>
        <v>12701.9</v>
      </c>
      <c r="N378" s="50">
        <f t="shared" si="116"/>
        <v>9342.1</v>
      </c>
      <c r="O378" s="50">
        <f t="shared" si="116"/>
        <v>6774.1</v>
      </c>
      <c r="P378" s="50">
        <f t="shared" si="116"/>
        <v>6852.4</v>
      </c>
      <c r="Q378" s="50">
        <f t="shared" si="116"/>
        <v>6852.4</v>
      </c>
      <c r="R378" s="50">
        <f t="shared" si="116"/>
        <v>6852.4</v>
      </c>
      <c r="S378" s="50">
        <f t="shared" si="116"/>
        <v>6852.4</v>
      </c>
      <c r="T378" s="50">
        <f t="shared" si="116"/>
        <v>6852.4</v>
      </c>
      <c r="U378" s="50">
        <f aca="true" t="shared" si="117" ref="U378:U385">J378+K378+L378+M378+O378+Q378+R378+S378+T378</f>
        <v>109594.3</v>
      </c>
      <c r="V378" s="37">
        <v>2024</v>
      </c>
      <c r="W378" s="4">
        <f t="shared" si="97"/>
        <v>-2568</v>
      </c>
      <c r="X378" s="4">
        <f t="shared" si="98"/>
        <v>0</v>
      </c>
      <c r="Y378" s="20"/>
      <c r="Z378" s="21"/>
    </row>
    <row r="379" spans="1:26" s="22" customFormat="1" ht="12.75">
      <c r="A379" s="33" t="s">
        <v>254</v>
      </c>
      <c r="B379" s="34">
        <v>1</v>
      </c>
      <c r="C379" s="34">
        <v>3</v>
      </c>
      <c r="D379" s="34">
        <v>3</v>
      </c>
      <c r="E379" s="34">
        <v>0</v>
      </c>
      <c r="F379" s="34">
        <v>3</v>
      </c>
      <c r="G379" s="34">
        <v>3</v>
      </c>
      <c r="H379" s="51" t="s">
        <v>256</v>
      </c>
      <c r="I379" s="34" t="s">
        <v>255</v>
      </c>
      <c r="J379" s="52">
        <f>9741+38.4</f>
        <v>9779.4</v>
      </c>
      <c r="K379" s="53">
        <f>21865.7</f>
        <v>21865.7</v>
      </c>
      <c r="L379" s="53">
        <f>30932.9+532.8-402.4-0.1+0.3+0.1</f>
        <v>31063.6</v>
      </c>
      <c r="M379" s="53">
        <v>12701.9</v>
      </c>
      <c r="N379" s="53">
        <v>9342.1</v>
      </c>
      <c r="O379" s="55">
        <v>6774.1</v>
      </c>
      <c r="P379" s="52">
        <v>6852.4</v>
      </c>
      <c r="Q379" s="55">
        <v>6852.4</v>
      </c>
      <c r="R379" s="57">
        <v>6852.4</v>
      </c>
      <c r="S379" s="57">
        <v>6852.4</v>
      </c>
      <c r="T379" s="57">
        <v>6852.4</v>
      </c>
      <c r="U379" s="53">
        <f t="shared" si="117"/>
        <v>109594.3</v>
      </c>
      <c r="V379" s="34">
        <v>2024</v>
      </c>
      <c r="W379" s="4">
        <f t="shared" si="97"/>
        <v>-2568</v>
      </c>
      <c r="X379" s="4">
        <f t="shared" si="98"/>
        <v>0</v>
      </c>
      <c r="Y379" s="20"/>
      <c r="Z379" s="21"/>
    </row>
    <row r="380" spans="1:26" s="22" customFormat="1" ht="38.25">
      <c r="A380" s="33" t="s">
        <v>254</v>
      </c>
      <c r="B380" s="34">
        <v>1</v>
      </c>
      <c r="C380" s="34">
        <v>3</v>
      </c>
      <c r="D380" s="34">
        <v>3</v>
      </c>
      <c r="E380" s="34">
        <v>0</v>
      </c>
      <c r="F380" s="34">
        <v>3</v>
      </c>
      <c r="G380" s="35"/>
      <c r="H380" s="54" t="s">
        <v>366</v>
      </c>
      <c r="I380" s="35" t="s">
        <v>294</v>
      </c>
      <c r="J380" s="47">
        <v>15</v>
      </c>
      <c r="K380" s="48">
        <v>22</v>
      </c>
      <c r="L380" s="48">
        <v>26</v>
      </c>
      <c r="M380" s="48">
        <v>17</v>
      </c>
      <c r="N380" s="53">
        <v>0</v>
      </c>
      <c r="O380" s="47">
        <v>2</v>
      </c>
      <c r="P380" s="52">
        <v>0</v>
      </c>
      <c r="Q380" s="47">
        <v>0</v>
      </c>
      <c r="R380" s="47">
        <v>0</v>
      </c>
      <c r="S380" s="47">
        <v>0</v>
      </c>
      <c r="T380" s="47">
        <v>0</v>
      </c>
      <c r="U380" s="42">
        <f t="shared" si="117"/>
        <v>82</v>
      </c>
      <c r="V380" s="35">
        <v>2020</v>
      </c>
      <c r="W380" s="4">
        <f t="shared" si="97"/>
        <v>2</v>
      </c>
      <c r="X380" s="4">
        <f t="shared" si="98"/>
        <v>0</v>
      </c>
      <c r="Y380" s="20"/>
      <c r="Z380" s="21"/>
    </row>
    <row r="381" spans="1:26" s="24" customFormat="1" ht="63.75">
      <c r="A381" s="33" t="s">
        <v>254</v>
      </c>
      <c r="B381" s="34">
        <v>1</v>
      </c>
      <c r="C381" s="34">
        <v>3</v>
      </c>
      <c r="D381" s="34">
        <v>3</v>
      </c>
      <c r="E381" s="34">
        <v>0</v>
      </c>
      <c r="F381" s="34">
        <v>3</v>
      </c>
      <c r="G381" s="35"/>
      <c r="H381" s="54" t="s">
        <v>367</v>
      </c>
      <c r="I381" s="35" t="s">
        <v>294</v>
      </c>
      <c r="J381" s="47">
        <v>22</v>
      </c>
      <c r="K381" s="48">
        <v>25</v>
      </c>
      <c r="L381" s="48">
        <v>9</v>
      </c>
      <c r="M381" s="48">
        <v>6</v>
      </c>
      <c r="N381" s="48">
        <v>10</v>
      </c>
      <c r="O381" s="47">
        <v>3</v>
      </c>
      <c r="P381" s="47">
        <v>8</v>
      </c>
      <c r="Q381" s="47">
        <v>15</v>
      </c>
      <c r="R381" s="48">
        <v>8</v>
      </c>
      <c r="S381" s="48">
        <v>2</v>
      </c>
      <c r="T381" s="48">
        <v>2</v>
      </c>
      <c r="U381" s="48">
        <f t="shared" si="117"/>
        <v>92</v>
      </c>
      <c r="V381" s="35">
        <v>2024</v>
      </c>
      <c r="W381" s="4">
        <f t="shared" si="97"/>
        <v>-7</v>
      </c>
      <c r="X381" s="4">
        <f t="shared" si="98"/>
        <v>7</v>
      </c>
      <c r="Y381" s="23"/>
      <c r="Z381" s="23"/>
    </row>
    <row r="382" spans="1:26" s="26" customFormat="1" ht="51">
      <c r="A382" s="33" t="s">
        <v>254</v>
      </c>
      <c r="B382" s="34">
        <v>1</v>
      </c>
      <c r="C382" s="34">
        <v>3</v>
      </c>
      <c r="D382" s="34">
        <v>3</v>
      </c>
      <c r="E382" s="34">
        <v>0</v>
      </c>
      <c r="F382" s="34">
        <v>3</v>
      </c>
      <c r="G382" s="35"/>
      <c r="H382" s="54" t="s">
        <v>368</v>
      </c>
      <c r="I382" s="35" t="s">
        <v>294</v>
      </c>
      <c r="J382" s="47">
        <v>0</v>
      </c>
      <c r="K382" s="48">
        <v>13</v>
      </c>
      <c r="L382" s="48">
        <v>17</v>
      </c>
      <c r="M382" s="48">
        <v>5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8">
        <f t="shared" si="117"/>
        <v>35</v>
      </c>
      <c r="V382" s="90">
        <v>2019</v>
      </c>
      <c r="W382" s="4">
        <f t="shared" si="97"/>
        <v>0</v>
      </c>
      <c r="X382" s="4">
        <f t="shared" si="98"/>
        <v>0</v>
      </c>
      <c r="Y382" s="25"/>
      <c r="Z382" s="25"/>
    </row>
    <row r="383" spans="1:26" s="24" customFormat="1" ht="76.5">
      <c r="A383" s="33" t="s">
        <v>254</v>
      </c>
      <c r="B383" s="34">
        <v>1</v>
      </c>
      <c r="C383" s="34">
        <v>3</v>
      </c>
      <c r="D383" s="34">
        <v>3</v>
      </c>
      <c r="E383" s="34">
        <v>0</v>
      </c>
      <c r="F383" s="34">
        <v>3</v>
      </c>
      <c r="G383" s="35"/>
      <c r="H383" s="54" t="s">
        <v>369</v>
      </c>
      <c r="I383" s="35" t="s">
        <v>294</v>
      </c>
      <c r="J383" s="47">
        <v>0</v>
      </c>
      <c r="K383" s="48">
        <v>0</v>
      </c>
      <c r="L383" s="48">
        <v>67</v>
      </c>
      <c r="M383" s="48">
        <v>64</v>
      </c>
      <c r="N383" s="48">
        <v>64</v>
      </c>
      <c r="O383" s="47">
        <v>0</v>
      </c>
      <c r="P383" s="47">
        <v>64</v>
      </c>
      <c r="Q383" s="47">
        <v>0</v>
      </c>
      <c r="R383" s="47">
        <v>0</v>
      </c>
      <c r="S383" s="47">
        <v>0</v>
      </c>
      <c r="T383" s="47">
        <v>0</v>
      </c>
      <c r="U383" s="48">
        <f t="shared" si="117"/>
        <v>131</v>
      </c>
      <c r="V383" s="35">
        <v>2023</v>
      </c>
      <c r="W383" s="4">
        <f t="shared" si="97"/>
        <v>-64</v>
      </c>
      <c r="X383" s="4">
        <f t="shared" si="98"/>
        <v>-64</v>
      </c>
      <c r="Y383" s="23"/>
      <c r="Z383" s="23"/>
    </row>
    <row r="384" spans="1:26" s="22" customFormat="1" ht="38.25">
      <c r="A384" s="31" t="s">
        <v>254</v>
      </c>
      <c r="B384" s="32">
        <v>1</v>
      </c>
      <c r="C384" s="32">
        <v>3</v>
      </c>
      <c r="D384" s="32">
        <v>4</v>
      </c>
      <c r="E384" s="32">
        <v>0</v>
      </c>
      <c r="F384" s="32">
        <v>0</v>
      </c>
      <c r="G384" s="32"/>
      <c r="H384" s="30" t="s">
        <v>26</v>
      </c>
      <c r="I384" s="32" t="s">
        <v>255</v>
      </c>
      <c r="J384" s="68">
        <f>J385</f>
        <v>0</v>
      </c>
      <c r="K384" s="68">
        <f>K385</f>
        <v>78.1</v>
      </c>
      <c r="L384" s="68">
        <f>L385</f>
        <v>3275</v>
      </c>
      <c r="M384" s="68">
        <f aca="true" t="shared" si="118" ref="M384:T384">M385+M386</f>
        <v>34500.6</v>
      </c>
      <c r="N384" s="68">
        <f>N385+N386</f>
        <v>42572.3</v>
      </c>
      <c r="O384" s="68">
        <f t="shared" si="118"/>
        <v>23973.6</v>
      </c>
      <c r="P384" s="68">
        <f>P385+P386</f>
        <v>7780</v>
      </c>
      <c r="Q384" s="68">
        <f t="shared" si="118"/>
        <v>7780</v>
      </c>
      <c r="R384" s="68">
        <f t="shared" si="118"/>
        <v>26248</v>
      </c>
      <c r="S384" s="68">
        <f t="shared" si="118"/>
        <v>26248</v>
      </c>
      <c r="T384" s="68">
        <f t="shared" si="118"/>
        <v>26248</v>
      </c>
      <c r="U384" s="68">
        <f t="shared" si="117"/>
        <v>148351.3</v>
      </c>
      <c r="V384" s="32">
        <v>2024</v>
      </c>
      <c r="W384" s="4">
        <f t="shared" si="97"/>
        <v>-18598.7</v>
      </c>
      <c r="X384" s="4">
        <f t="shared" si="98"/>
        <v>0</v>
      </c>
      <c r="Y384" s="20"/>
      <c r="Z384" s="21"/>
    </row>
    <row r="385" spans="1:26" s="22" customFormat="1" ht="12.75">
      <c r="A385" s="33" t="s">
        <v>254</v>
      </c>
      <c r="B385" s="34">
        <v>1</v>
      </c>
      <c r="C385" s="34">
        <v>3</v>
      </c>
      <c r="D385" s="34">
        <v>4</v>
      </c>
      <c r="E385" s="34">
        <v>0</v>
      </c>
      <c r="F385" s="34">
        <v>0</v>
      </c>
      <c r="G385" s="34">
        <v>3</v>
      </c>
      <c r="H385" s="51" t="s">
        <v>256</v>
      </c>
      <c r="I385" s="34" t="s">
        <v>255</v>
      </c>
      <c r="J385" s="133">
        <f aca="true" t="shared" si="119" ref="J385:P385">J394</f>
        <v>0</v>
      </c>
      <c r="K385" s="133">
        <f t="shared" si="119"/>
        <v>78.1</v>
      </c>
      <c r="L385" s="134">
        <f t="shared" si="119"/>
        <v>3275</v>
      </c>
      <c r="M385" s="134">
        <f t="shared" si="119"/>
        <v>33904.2</v>
      </c>
      <c r="N385" s="134">
        <f t="shared" si="119"/>
        <v>42572.3</v>
      </c>
      <c r="O385" s="133">
        <f t="shared" si="119"/>
        <v>23973.6</v>
      </c>
      <c r="P385" s="133">
        <f t="shared" si="119"/>
        <v>7780</v>
      </c>
      <c r="Q385" s="133">
        <v>7780</v>
      </c>
      <c r="R385" s="134">
        <f aca="true" t="shared" si="120" ref="R385:T386">R394</f>
        <v>26248</v>
      </c>
      <c r="S385" s="134">
        <f t="shared" si="120"/>
        <v>26248</v>
      </c>
      <c r="T385" s="134">
        <f t="shared" si="120"/>
        <v>26248</v>
      </c>
      <c r="U385" s="53">
        <f t="shared" si="117"/>
        <v>147754.9</v>
      </c>
      <c r="V385" s="88">
        <v>2024</v>
      </c>
      <c r="W385" s="4">
        <f t="shared" si="97"/>
        <v>-18598.7</v>
      </c>
      <c r="X385" s="4">
        <f t="shared" si="98"/>
        <v>0</v>
      </c>
      <c r="Y385" s="20"/>
      <c r="Z385" s="21"/>
    </row>
    <row r="386" spans="1:26" s="22" customFormat="1" ht="12.75">
      <c r="A386" s="33" t="s">
        <v>254</v>
      </c>
      <c r="B386" s="34">
        <v>1</v>
      </c>
      <c r="C386" s="34">
        <v>3</v>
      </c>
      <c r="D386" s="34">
        <v>4</v>
      </c>
      <c r="E386" s="34">
        <v>0</v>
      </c>
      <c r="F386" s="34">
        <v>0</v>
      </c>
      <c r="G386" s="34">
        <v>2</v>
      </c>
      <c r="H386" s="51" t="s">
        <v>257</v>
      </c>
      <c r="I386" s="34" t="s">
        <v>255</v>
      </c>
      <c r="J386" s="133">
        <v>0</v>
      </c>
      <c r="K386" s="133">
        <v>0</v>
      </c>
      <c r="L386" s="134">
        <v>0</v>
      </c>
      <c r="M386" s="134">
        <f>M395</f>
        <v>596.4</v>
      </c>
      <c r="N386" s="134">
        <f>N395</f>
        <v>0</v>
      </c>
      <c r="O386" s="133">
        <f>O395</f>
        <v>0</v>
      </c>
      <c r="P386" s="133">
        <f>P395</f>
        <v>0</v>
      </c>
      <c r="Q386" s="133">
        <v>0</v>
      </c>
      <c r="R386" s="134">
        <f t="shared" si="120"/>
        <v>0</v>
      </c>
      <c r="S386" s="134">
        <f t="shared" si="120"/>
        <v>0</v>
      </c>
      <c r="T386" s="134">
        <f t="shared" si="120"/>
        <v>0</v>
      </c>
      <c r="U386" s="53">
        <f>SUM(J386:T386)</f>
        <v>596.4</v>
      </c>
      <c r="V386" s="88">
        <v>2019</v>
      </c>
      <c r="W386" s="4">
        <f t="shared" si="97"/>
        <v>0</v>
      </c>
      <c r="X386" s="4">
        <f t="shared" si="98"/>
        <v>0</v>
      </c>
      <c r="Y386" s="20"/>
      <c r="Z386" s="21"/>
    </row>
    <row r="387" spans="1:26" s="24" customFormat="1" ht="38.25">
      <c r="A387" s="33" t="s">
        <v>254</v>
      </c>
      <c r="B387" s="34">
        <v>1</v>
      </c>
      <c r="C387" s="34">
        <v>3</v>
      </c>
      <c r="D387" s="34">
        <v>4</v>
      </c>
      <c r="E387" s="34">
        <v>0</v>
      </c>
      <c r="F387" s="34">
        <v>0</v>
      </c>
      <c r="G387" s="35"/>
      <c r="H387" s="39" t="s">
        <v>27</v>
      </c>
      <c r="I387" s="35" t="s">
        <v>260</v>
      </c>
      <c r="J387" s="35">
        <v>92.9</v>
      </c>
      <c r="K387" s="35">
        <v>66.3</v>
      </c>
      <c r="L387" s="90">
        <v>68.3</v>
      </c>
      <c r="M387" s="110">
        <v>77.2</v>
      </c>
      <c r="N387" s="110">
        <v>77.2</v>
      </c>
      <c r="O387" s="110">
        <v>77.2</v>
      </c>
      <c r="P387" s="110">
        <v>77.2</v>
      </c>
      <c r="Q387" s="110">
        <v>77.2</v>
      </c>
      <c r="R387" s="110">
        <v>77.2</v>
      </c>
      <c r="S387" s="110">
        <v>79.2</v>
      </c>
      <c r="T387" s="110">
        <v>85.1</v>
      </c>
      <c r="U387" s="110">
        <v>85.1</v>
      </c>
      <c r="V387" s="90">
        <v>2024</v>
      </c>
      <c r="W387" s="4">
        <f t="shared" si="97"/>
        <v>0</v>
      </c>
      <c r="X387" s="4">
        <f t="shared" si="98"/>
        <v>0</v>
      </c>
      <c r="Y387" s="23"/>
      <c r="Z387" s="23"/>
    </row>
    <row r="388" spans="1:26" s="24" customFormat="1" ht="38.25">
      <c r="A388" s="33" t="s">
        <v>254</v>
      </c>
      <c r="B388" s="34">
        <v>1</v>
      </c>
      <c r="C388" s="34">
        <v>3</v>
      </c>
      <c r="D388" s="34">
        <v>4</v>
      </c>
      <c r="E388" s="34">
        <v>0</v>
      </c>
      <c r="F388" s="34">
        <v>0</v>
      </c>
      <c r="G388" s="35"/>
      <c r="H388" s="39" t="s">
        <v>28</v>
      </c>
      <c r="I388" s="35" t="s">
        <v>260</v>
      </c>
      <c r="J388" s="40">
        <v>44.6</v>
      </c>
      <c r="K388" s="40">
        <v>44.6</v>
      </c>
      <c r="L388" s="42">
        <v>45.5</v>
      </c>
      <c r="M388" s="110">
        <v>92</v>
      </c>
      <c r="N388" s="110">
        <v>92</v>
      </c>
      <c r="O388" s="110">
        <v>92</v>
      </c>
      <c r="P388" s="110">
        <v>92</v>
      </c>
      <c r="Q388" s="110">
        <v>92</v>
      </c>
      <c r="R388" s="110">
        <v>92</v>
      </c>
      <c r="S388" s="110">
        <v>92</v>
      </c>
      <c r="T388" s="110">
        <v>92</v>
      </c>
      <c r="U388" s="110">
        <v>92</v>
      </c>
      <c r="V388" s="90">
        <v>2019</v>
      </c>
      <c r="W388" s="4">
        <f t="shared" si="97"/>
        <v>0</v>
      </c>
      <c r="X388" s="4">
        <f t="shared" si="98"/>
        <v>0</v>
      </c>
      <c r="Y388" s="23"/>
      <c r="Z388" s="23"/>
    </row>
    <row r="389" spans="1:26" s="24" customFormat="1" ht="38.25">
      <c r="A389" s="33" t="s">
        <v>254</v>
      </c>
      <c r="B389" s="34">
        <v>1</v>
      </c>
      <c r="C389" s="34">
        <v>3</v>
      </c>
      <c r="D389" s="34">
        <v>4</v>
      </c>
      <c r="E389" s="34">
        <v>0</v>
      </c>
      <c r="F389" s="34">
        <v>0</v>
      </c>
      <c r="G389" s="35"/>
      <c r="H389" s="39" t="s">
        <v>29</v>
      </c>
      <c r="I389" s="35" t="s">
        <v>260</v>
      </c>
      <c r="J389" s="40">
        <v>61.1</v>
      </c>
      <c r="K389" s="40">
        <v>61.1</v>
      </c>
      <c r="L389" s="42">
        <v>61.1</v>
      </c>
      <c r="M389" s="56">
        <v>77.8</v>
      </c>
      <c r="N389" s="56">
        <v>83.3</v>
      </c>
      <c r="O389" s="56">
        <v>83.3</v>
      </c>
      <c r="P389" s="56">
        <v>83.3</v>
      </c>
      <c r="Q389" s="56">
        <v>83.3</v>
      </c>
      <c r="R389" s="56">
        <v>83.3</v>
      </c>
      <c r="S389" s="56">
        <v>88.9</v>
      </c>
      <c r="T389" s="56">
        <v>88.9</v>
      </c>
      <c r="U389" s="56">
        <v>88.9</v>
      </c>
      <c r="V389" s="90">
        <v>2023</v>
      </c>
      <c r="W389" s="4">
        <f t="shared" si="97"/>
        <v>0</v>
      </c>
      <c r="X389" s="4">
        <f t="shared" si="98"/>
        <v>0</v>
      </c>
      <c r="Y389" s="23"/>
      <c r="Z389" s="23"/>
    </row>
    <row r="390" spans="1:26" s="24" customFormat="1" ht="63.75">
      <c r="A390" s="33" t="s">
        <v>254</v>
      </c>
      <c r="B390" s="34">
        <v>1</v>
      </c>
      <c r="C390" s="34">
        <v>3</v>
      </c>
      <c r="D390" s="34">
        <v>4</v>
      </c>
      <c r="E390" s="34">
        <v>0</v>
      </c>
      <c r="F390" s="34">
        <v>0</v>
      </c>
      <c r="G390" s="35"/>
      <c r="H390" s="39" t="s">
        <v>24</v>
      </c>
      <c r="I390" s="35" t="s">
        <v>260</v>
      </c>
      <c r="J390" s="40">
        <v>0</v>
      </c>
      <c r="K390" s="40">
        <v>0</v>
      </c>
      <c r="L390" s="42">
        <v>98.5</v>
      </c>
      <c r="M390" s="42">
        <v>100</v>
      </c>
      <c r="N390" s="42">
        <v>100</v>
      </c>
      <c r="O390" s="40">
        <v>100</v>
      </c>
      <c r="P390" s="40">
        <v>100</v>
      </c>
      <c r="Q390" s="40">
        <v>100</v>
      </c>
      <c r="R390" s="40">
        <v>100</v>
      </c>
      <c r="S390" s="40">
        <v>100</v>
      </c>
      <c r="T390" s="40">
        <v>100</v>
      </c>
      <c r="U390" s="40">
        <v>100</v>
      </c>
      <c r="V390" s="90">
        <v>2024</v>
      </c>
      <c r="W390" s="4">
        <f t="shared" si="97"/>
        <v>0</v>
      </c>
      <c r="X390" s="4">
        <f t="shared" si="98"/>
        <v>0</v>
      </c>
      <c r="Y390" s="23"/>
      <c r="Z390" s="23"/>
    </row>
    <row r="391" spans="1:26" s="24" customFormat="1" ht="63.75">
      <c r="A391" s="36" t="s">
        <v>254</v>
      </c>
      <c r="B391" s="37">
        <v>1</v>
      </c>
      <c r="C391" s="37">
        <v>3</v>
      </c>
      <c r="D391" s="37">
        <v>4</v>
      </c>
      <c r="E391" s="37">
        <v>0</v>
      </c>
      <c r="F391" s="37">
        <v>1</v>
      </c>
      <c r="G391" s="38"/>
      <c r="H391" s="43" t="s">
        <v>53</v>
      </c>
      <c r="I391" s="38" t="s">
        <v>279</v>
      </c>
      <c r="J391" s="44" t="s">
        <v>280</v>
      </c>
      <c r="K391" s="44" t="s">
        <v>280</v>
      </c>
      <c r="L391" s="44" t="s">
        <v>280</v>
      </c>
      <c r="M391" s="46" t="s">
        <v>280</v>
      </c>
      <c r="N391" s="46" t="s">
        <v>280</v>
      </c>
      <c r="O391" s="46" t="s">
        <v>280</v>
      </c>
      <c r="P391" s="46" t="s">
        <v>280</v>
      </c>
      <c r="Q391" s="46" t="s">
        <v>280</v>
      </c>
      <c r="R391" s="46" t="s">
        <v>280</v>
      </c>
      <c r="S391" s="46" t="s">
        <v>280</v>
      </c>
      <c r="T391" s="46" t="s">
        <v>280</v>
      </c>
      <c r="U391" s="44" t="s">
        <v>280</v>
      </c>
      <c r="V391" s="38">
        <v>2024</v>
      </c>
      <c r="W391" s="4"/>
      <c r="X391" s="4"/>
      <c r="Y391" s="23"/>
      <c r="Z391" s="23"/>
    </row>
    <row r="392" spans="1:26" s="24" customFormat="1" ht="51">
      <c r="A392" s="33" t="s">
        <v>254</v>
      </c>
      <c r="B392" s="34">
        <v>1</v>
      </c>
      <c r="C392" s="34">
        <v>3</v>
      </c>
      <c r="D392" s="34">
        <v>4</v>
      </c>
      <c r="E392" s="34">
        <v>0</v>
      </c>
      <c r="F392" s="34">
        <v>1</v>
      </c>
      <c r="G392" s="35"/>
      <c r="H392" s="39" t="s">
        <v>30</v>
      </c>
      <c r="I392" s="35" t="s">
        <v>294</v>
      </c>
      <c r="J392" s="47">
        <v>3</v>
      </c>
      <c r="K392" s="47">
        <v>3</v>
      </c>
      <c r="L392" s="47">
        <v>3</v>
      </c>
      <c r="M392" s="70">
        <v>3</v>
      </c>
      <c r="N392" s="70">
        <v>3</v>
      </c>
      <c r="O392" s="70">
        <v>3</v>
      </c>
      <c r="P392" s="70">
        <v>3</v>
      </c>
      <c r="Q392" s="70">
        <v>3</v>
      </c>
      <c r="R392" s="70">
        <v>3</v>
      </c>
      <c r="S392" s="70">
        <v>3</v>
      </c>
      <c r="T392" s="70">
        <v>3</v>
      </c>
      <c r="U392" s="47">
        <f aca="true" t="shared" si="121" ref="U392:U403">J392+K392+L392+M392+O392+Q392+R392+S392+T392</f>
        <v>27</v>
      </c>
      <c r="V392" s="35">
        <v>2024</v>
      </c>
      <c r="W392" s="4">
        <f t="shared" si="97"/>
        <v>0</v>
      </c>
      <c r="X392" s="4">
        <f t="shared" si="98"/>
        <v>0</v>
      </c>
      <c r="Y392" s="23"/>
      <c r="Z392" s="23"/>
    </row>
    <row r="393" spans="1:26" s="22" customFormat="1" ht="51">
      <c r="A393" s="36" t="s">
        <v>254</v>
      </c>
      <c r="B393" s="37">
        <v>1</v>
      </c>
      <c r="C393" s="37">
        <v>3</v>
      </c>
      <c r="D393" s="37">
        <v>4</v>
      </c>
      <c r="E393" s="37">
        <v>0</v>
      </c>
      <c r="F393" s="37">
        <v>2</v>
      </c>
      <c r="G393" s="37"/>
      <c r="H393" s="49" t="s">
        <v>415</v>
      </c>
      <c r="I393" s="37" t="s">
        <v>255</v>
      </c>
      <c r="J393" s="45">
        <f>J394</f>
        <v>0</v>
      </c>
      <c r="K393" s="45">
        <f>K394</f>
        <v>78.1</v>
      </c>
      <c r="L393" s="45">
        <f>L394</f>
        <v>3275</v>
      </c>
      <c r="M393" s="50">
        <f aca="true" t="shared" si="122" ref="M393:T393">M394+M395</f>
        <v>34500.6</v>
      </c>
      <c r="N393" s="50">
        <f t="shared" si="122"/>
        <v>42572.3</v>
      </c>
      <c r="O393" s="50">
        <f t="shared" si="122"/>
        <v>23973.6</v>
      </c>
      <c r="P393" s="50">
        <f t="shared" si="122"/>
        <v>7780</v>
      </c>
      <c r="Q393" s="50">
        <f t="shared" si="122"/>
        <v>7780</v>
      </c>
      <c r="R393" s="50">
        <f t="shared" si="122"/>
        <v>26248</v>
      </c>
      <c r="S393" s="50">
        <f t="shared" si="122"/>
        <v>26248</v>
      </c>
      <c r="T393" s="50">
        <f t="shared" si="122"/>
        <v>26248</v>
      </c>
      <c r="U393" s="50">
        <f t="shared" si="121"/>
        <v>148351.3</v>
      </c>
      <c r="V393" s="37">
        <v>2024</v>
      </c>
      <c r="W393" s="4">
        <f aca="true" t="shared" si="123" ref="W393:W456">O393-N393</f>
        <v>-18598.7</v>
      </c>
      <c r="X393" s="4">
        <f aca="true" t="shared" si="124" ref="X393:X456">Q393-P393</f>
        <v>0</v>
      </c>
      <c r="Y393" s="20"/>
      <c r="Z393" s="21"/>
    </row>
    <row r="394" spans="1:26" s="22" customFormat="1" ht="12.75">
      <c r="A394" s="33" t="s">
        <v>254</v>
      </c>
      <c r="B394" s="34">
        <v>1</v>
      </c>
      <c r="C394" s="34">
        <v>3</v>
      </c>
      <c r="D394" s="34">
        <v>4</v>
      </c>
      <c r="E394" s="34">
        <v>0</v>
      </c>
      <c r="F394" s="34">
        <v>2</v>
      </c>
      <c r="G394" s="34">
        <v>3</v>
      </c>
      <c r="H394" s="51" t="s">
        <v>256</v>
      </c>
      <c r="I394" s="34" t="s">
        <v>255</v>
      </c>
      <c r="J394" s="182">
        <f>200-200</f>
        <v>0</v>
      </c>
      <c r="K394" s="52">
        <v>78.1</v>
      </c>
      <c r="L394" s="53">
        <v>3275</v>
      </c>
      <c r="M394" s="53">
        <v>33904.2</v>
      </c>
      <c r="N394" s="53">
        <v>42572.3</v>
      </c>
      <c r="O394" s="52">
        <v>23973.6</v>
      </c>
      <c r="P394" s="52">
        <v>7780</v>
      </c>
      <c r="Q394" s="52">
        <v>7780</v>
      </c>
      <c r="R394" s="53">
        <v>26248</v>
      </c>
      <c r="S394" s="53">
        <v>26248</v>
      </c>
      <c r="T394" s="53">
        <v>26248</v>
      </c>
      <c r="U394" s="53">
        <f t="shared" si="121"/>
        <v>147754.9</v>
      </c>
      <c r="V394" s="34">
        <v>2024</v>
      </c>
      <c r="W394" s="4">
        <f t="shared" si="123"/>
        <v>-18598.7</v>
      </c>
      <c r="X394" s="4">
        <f t="shared" si="124"/>
        <v>0</v>
      </c>
      <c r="Y394" s="20"/>
      <c r="Z394" s="21"/>
    </row>
    <row r="395" spans="1:26" s="22" customFormat="1" ht="12.75">
      <c r="A395" s="33" t="s">
        <v>254</v>
      </c>
      <c r="B395" s="34">
        <v>1</v>
      </c>
      <c r="C395" s="34">
        <v>3</v>
      </c>
      <c r="D395" s="34">
        <v>4</v>
      </c>
      <c r="E395" s="34">
        <v>0</v>
      </c>
      <c r="F395" s="34">
        <v>2</v>
      </c>
      <c r="G395" s="34">
        <v>2</v>
      </c>
      <c r="H395" s="51" t="s">
        <v>257</v>
      </c>
      <c r="I395" s="34" t="s">
        <v>255</v>
      </c>
      <c r="J395" s="182">
        <v>0</v>
      </c>
      <c r="K395" s="52">
        <v>0</v>
      </c>
      <c r="L395" s="53">
        <v>0</v>
      </c>
      <c r="M395" s="53">
        <v>596.4</v>
      </c>
      <c r="N395" s="53">
        <v>0</v>
      </c>
      <c r="O395" s="52">
        <v>0</v>
      </c>
      <c r="P395" s="52">
        <v>0</v>
      </c>
      <c r="Q395" s="52">
        <v>0</v>
      </c>
      <c r="R395" s="53">
        <v>0</v>
      </c>
      <c r="S395" s="53">
        <v>0</v>
      </c>
      <c r="T395" s="53">
        <v>0</v>
      </c>
      <c r="U395" s="53">
        <f t="shared" si="121"/>
        <v>596.4</v>
      </c>
      <c r="V395" s="34"/>
      <c r="W395" s="4">
        <f t="shared" si="123"/>
        <v>0</v>
      </c>
      <c r="X395" s="4">
        <f t="shared" si="124"/>
        <v>0</v>
      </c>
      <c r="Y395" s="20"/>
      <c r="Z395" s="21"/>
    </row>
    <row r="396" spans="1:26" s="24" customFormat="1" ht="25.5">
      <c r="A396" s="33" t="s">
        <v>254</v>
      </c>
      <c r="B396" s="34">
        <v>1</v>
      </c>
      <c r="C396" s="34">
        <v>3</v>
      </c>
      <c r="D396" s="34">
        <v>4</v>
      </c>
      <c r="E396" s="34">
        <v>0</v>
      </c>
      <c r="F396" s="34">
        <v>2</v>
      </c>
      <c r="G396" s="35"/>
      <c r="H396" s="54" t="s">
        <v>31</v>
      </c>
      <c r="I396" s="35" t="s">
        <v>294</v>
      </c>
      <c r="J396" s="47">
        <v>0</v>
      </c>
      <c r="K396" s="47">
        <v>2</v>
      </c>
      <c r="L396" s="48">
        <v>3</v>
      </c>
      <c r="M396" s="48">
        <v>8</v>
      </c>
      <c r="N396" s="48">
        <v>0</v>
      </c>
      <c r="O396" s="47">
        <v>0</v>
      </c>
      <c r="P396" s="47">
        <v>0</v>
      </c>
      <c r="Q396" s="47">
        <v>0</v>
      </c>
      <c r="R396" s="48">
        <v>0</v>
      </c>
      <c r="S396" s="48">
        <v>2</v>
      </c>
      <c r="T396" s="48">
        <v>6</v>
      </c>
      <c r="U396" s="48">
        <f t="shared" si="121"/>
        <v>21</v>
      </c>
      <c r="V396" s="35">
        <v>2024</v>
      </c>
      <c r="W396" s="4">
        <f t="shared" si="123"/>
        <v>0</v>
      </c>
      <c r="X396" s="4">
        <f t="shared" si="124"/>
        <v>0</v>
      </c>
      <c r="Y396" s="23"/>
      <c r="Z396" s="23"/>
    </row>
    <row r="397" spans="1:26" s="26" customFormat="1" ht="38.25">
      <c r="A397" s="160" t="s">
        <v>254</v>
      </c>
      <c r="B397" s="88">
        <v>1</v>
      </c>
      <c r="C397" s="88">
        <v>3</v>
      </c>
      <c r="D397" s="88">
        <v>4</v>
      </c>
      <c r="E397" s="88">
        <v>0</v>
      </c>
      <c r="F397" s="88">
        <v>2</v>
      </c>
      <c r="G397" s="90"/>
      <c r="H397" s="165" t="s">
        <v>123</v>
      </c>
      <c r="I397" s="90" t="s">
        <v>294</v>
      </c>
      <c r="J397" s="48">
        <v>0</v>
      </c>
      <c r="K397" s="48">
        <v>0</v>
      </c>
      <c r="L397" s="48">
        <v>1</v>
      </c>
      <c r="M397" s="47">
        <v>52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8">
        <f t="shared" si="121"/>
        <v>53</v>
      </c>
      <c r="V397" s="90">
        <v>2019</v>
      </c>
      <c r="W397" s="4">
        <f t="shared" si="123"/>
        <v>0</v>
      </c>
      <c r="X397" s="4">
        <f t="shared" si="124"/>
        <v>0</v>
      </c>
      <c r="Y397" s="25"/>
      <c r="Z397" s="25"/>
    </row>
    <row r="398" spans="1:26" s="24" customFormat="1" ht="38.25">
      <c r="A398" s="33" t="s">
        <v>254</v>
      </c>
      <c r="B398" s="34">
        <v>1</v>
      </c>
      <c r="C398" s="34">
        <v>3</v>
      </c>
      <c r="D398" s="34">
        <v>4</v>
      </c>
      <c r="E398" s="34">
        <v>0</v>
      </c>
      <c r="F398" s="34">
        <v>2</v>
      </c>
      <c r="G398" s="35"/>
      <c r="H398" s="54" t="s">
        <v>35</v>
      </c>
      <c r="I398" s="35" t="s">
        <v>294</v>
      </c>
      <c r="J398" s="47">
        <v>0</v>
      </c>
      <c r="K398" s="47">
        <v>0</v>
      </c>
      <c r="L398" s="48">
        <v>0</v>
      </c>
      <c r="M398" s="48">
        <v>3</v>
      </c>
      <c r="N398" s="48">
        <v>1</v>
      </c>
      <c r="O398" s="47">
        <v>1</v>
      </c>
      <c r="P398" s="47">
        <v>0</v>
      </c>
      <c r="Q398" s="47">
        <v>0</v>
      </c>
      <c r="R398" s="48">
        <v>0</v>
      </c>
      <c r="S398" s="48">
        <v>1</v>
      </c>
      <c r="T398" s="48">
        <v>0</v>
      </c>
      <c r="U398" s="48">
        <f t="shared" si="121"/>
        <v>5</v>
      </c>
      <c r="V398" s="35">
        <v>2023</v>
      </c>
      <c r="W398" s="4">
        <f t="shared" si="123"/>
        <v>0</v>
      </c>
      <c r="X398" s="4">
        <f t="shared" si="124"/>
        <v>0</v>
      </c>
      <c r="Y398" s="23"/>
      <c r="Z398" s="23"/>
    </row>
    <row r="399" spans="1:26" s="24" customFormat="1" ht="76.5">
      <c r="A399" s="33" t="s">
        <v>254</v>
      </c>
      <c r="B399" s="34">
        <v>1</v>
      </c>
      <c r="C399" s="34">
        <v>3</v>
      </c>
      <c r="D399" s="34">
        <v>4</v>
      </c>
      <c r="E399" s="34">
        <v>0</v>
      </c>
      <c r="F399" s="34">
        <v>2</v>
      </c>
      <c r="G399" s="35"/>
      <c r="H399" s="54" t="s">
        <v>34</v>
      </c>
      <c r="I399" s="35" t="s">
        <v>294</v>
      </c>
      <c r="J399" s="47">
        <v>0</v>
      </c>
      <c r="K399" s="47">
        <v>0</v>
      </c>
      <c r="L399" s="48">
        <v>65</v>
      </c>
      <c r="M399" s="47">
        <v>62</v>
      </c>
      <c r="N399" s="47">
        <v>62</v>
      </c>
      <c r="O399" s="47">
        <v>0</v>
      </c>
      <c r="P399" s="47">
        <v>62</v>
      </c>
      <c r="Q399" s="47">
        <v>0</v>
      </c>
      <c r="R399" s="47">
        <v>0</v>
      </c>
      <c r="S399" s="47">
        <v>0</v>
      </c>
      <c r="T399" s="47">
        <v>0</v>
      </c>
      <c r="U399" s="48">
        <f t="shared" si="121"/>
        <v>127</v>
      </c>
      <c r="V399" s="35">
        <v>2019</v>
      </c>
      <c r="W399" s="4">
        <f t="shared" si="123"/>
        <v>-62</v>
      </c>
      <c r="X399" s="4">
        <f t="shared" si="124"/>
        <v>-62</v>
      </c>
      <c r="Y399" s="23"/>
      <c r="Z399" s="23"/>
    </row>
    <row r="400" spans="1:26" s="24" customFormat="1" ht="38.25">
      <c r="A400" s="33" t="s">
        <v>254</v>
      </c>
      <c r="B400" s="34">
        <v>1</v>
      </c>
      <c r="C400" s="34">
        <v>3</v>
      </c>
      <c r="D400" s="34">
        <v>4</v>
      </c>
      <c r="E400" s="34">
        <v>0</v>
      </c>
      <c r="F400" s="34">
        <v>2</v>
      </c>
      <c r="G400" s="35"/>
      <c r="H400" s="54" t="s">
        <v>86</v>
      </c>
      <c r="I400" s="35" t="s">
        <v>294</v>
      </c>
      <c r="J400" s="47">
        <v>0</v>
      </c>
      <c r="K400" s="47">
        <v>0</v>
      </c>
      <c r="L400" s="48">
        <v>6</v>
      </c>
      <c r="M400" s="48">
        <v>1</v>
      </c>
      <c r="N400" s="48">
        <v>0</v>
      </c>
      <c r="O400" s="47">
        <v>0</v>
      </c>
      <c r="P400" s="47">
        <v>0</v>
      </c>
      <c r="Q400" s="47">
        <v>0</v>
      </c>
      <c r="R400" s="48">
        <v>0</v>
      </c>
      <c r="S400" s="48">
        <v>0</v>
      </c>
      <c r="T400" s="48">
        <v>0</v>
      </c>
      <c r="U400" s="48">
        <f t="shared" si="121"/>
        <v>7</v>
      </c>
      <c r="V400" s="35">
        <v>2019</v>
      </c>
      <c r="W400" s="4">
        <f t="shared" si="123"/>
        <v>0</v>
      </c>
      <c r="X400" s="4">
        <f t="shared" si="124"/>
        <v>0</v>
      </c>
      <c r="Y400" s="23"/>
      <c r="Z400" s="23"/>
    </row>
    <row r="401" spans="1:108" s="27" customFormat="1" ht="51">
      <c r="A401" s="33" t="s">
        <v>254</v>
      </c>
      <c r="B401" s="34">
        <v>1</v>
      </c>
      <c r="C401" s="34">
        <v>3</v>
      </c>
      <c r="D401" s="34">
        <v>4</v>
      </c>
      <c r="E401" s="34">
        <v>0</v>
      </c>
      <c r="F401" s="34">
        <v>2</v>
      </c>
      <c r="G401" s="35"/>
      <c r="H401" s="54" t="s">
        <v>124</v>
      </c>
      <c r="I401" s="35" t="s">
        <v>294</v>
      </c>
      <c r="J401" s="47">
        <v>0</v>
      </c>
      <c r="K401" s="47">
        <v>0</v>
      </c>
      <c r="L401" s="47">
        <v>0</v>
      </c>
      <c r="M401" s="47">
        <v>3</v>
      </c>
      <c r="N401" s="47">
        <v>0</v>
      </c>
      <c r="O401" s="47">
        <v>4</v>
      </c>
      <c r="P401" s="47">
        <v>0</v>
      </c>
      <c r="Q401" s="47">
        <v>3</v>
      </c>
      <c r="R401" s="47">
        <v>4</v>
      </c>
      <c r="S401" s="47">
        <v>0</v>
      </c>
      <c r="T401" s="47">
        <v>0</v>
      </c>
      <c r="U401" s="48">
        <f t="shared" si="121"/>
        <v>14</v>
      </c>
      <c r="V401" s="35">
        <v>2022</v>
      </c>
      <c r="W401" s="4">
        <f t="shared" si="123"/>
        <v>4</v>
      </c>
      <c r="X401" s="4">
        <f t="shared" si="124"/>
        <v>3</v>
      </c>
      <c r="Y401" s="23"/>
      <c r="Z401" s="23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</row>
    <row r="402" spans="1:26" s="7" customFormat="1" ht="38.25">
      <c r="A402" s="31" t="s">
        <v>254</v>
      </c>
      <c r="B402" s="32">
        <v>1</v>
      </c>
      <c r="C402" s="32">
        <v>3</v>
      </c>
      <c r="D402" s="32">
        <v>5</v>
      </c>
      <c r="E402" s="32">
        <v>0</v>
      </c>
      <c r="F402" s="32">
        <v>0</v>
      </c>
      <c r="G402" s="32"/>
      <c r="H402" s="30" t="s">
        <v>36</v>
      </c>
      <c r="I402" s="32" t="s">
        <v>255</v>
      </c>
      <c r="J402" s="68">
        <f aca="true" t="shared" si="125" ref="J402:Q402">J403</f>
        <v>0</v>
      </c>
      <c r="K402" s="68">
        <f t="shared" si="125"/>
        <v>0</v>
      </c>
      <c r="L402" s="68">
        <f t="shared" si="125"/>
        <v>4118.8</v>
      </c>
      <c r="M402" s="68">
        <f t="shared" si="125"/>
        <v>2867.5</v>
      </c>
      <c r="N402" s="68">
        <f t="shared" si="125"/>
        <v>3429</v>
      </c>
      <c r="O402" s="68">
        <f t="shared" si="125"/>
        <v>2166.9</v>
      </c>
      <c r="P402" s="68">
        <f t="shared" si="125"/>
        <v>704.7</v>
      </c>
      <c r="Q402" s="68">
        <f t="shared" si="125"/>
        <v>1138.2</v>
      </c>
      <c r="R402" s="68">
        <v>1428.6</v>
      </c>
      <c r="S402" s="68">
        <f>S403</f>
        <v>4118.8</v>
      </c>
      <c r="T402" s="68">
        <f>T403</f>
        <v>2884.2</v>
      </c>
      <c r="U402" s="68">
        <f t="shared" si="121"/>
        <v>18723</v>
      </c>
      <c r="V402" s="32">
        <v>2024</v>
      </c>
      <c r="W402" s="4">
        <f t="shared" si="123"/>
        <v>-1262.1</v>
      </c>
      <c r="X402" s="4">
        <f t="shared" si="124"/>
        <v>433.5</v>
      </c>
      <c r="Y402" s="4"/>
      <c r="Z402" s="3"/>
    </row>
    <row r="403" spans="1:26" s="7" customFormat="1" ht="12.75">
      <c r="A403" s="33" t="s">
        <v>254</v>
      </c>
      <c r="B403" s="34">
        <v>1</v>
      </c>
      <c r="C403" s="34">
        <v>3</v>
      </c>
      <c r="D403" s="34">
        <v>5</v>
      </c>
      <c r="E403" s="34">
        <v>0</v>
      </c>
      <c r="F403" s="34">
        <v>0</v>
      </c>
      <c r="G403" s="34">
        <v>3</v>
      </c>
      <c r="H403" s="51" t="s">
        <v>256</v>
      </c>
      <c r="I403" s="34" t="s">
        <v>255</v>
      </c>
      <c r="J403" s="52">
        <f aca="true" t="shared" si="126" ref="J403:T403">J410</f>
        <v>0</v>
      </c>
      <c r="K403" s="52">
        <f t="shared" si="126"/>
        <v>0</v>
      </c>
      <c r="L403" s="52">
        <f t="shared" si="126"/>
        <v>4118.8</v>
      </c>
      <c r="M403" s="67">
        <f t="shared" si="126"/>
        <v>2867.5</v>
      </c>
      <c r="N403" s="67">
        <f>N410</f>
        <v>3429</v>
      </c>
      <c r="O403" s="67">
        <f t="shared" si="126"/>
        <v>2166.9</v>
      </c>
      <c r="P403" s="67">
        <f>P410</f>
        <v>704.7</v>
      </c>
      <c r="Q403" s="67">
        <f t="shared" si="126"/>
        <v>1138.2</v>
      </c>
      <c r="R403" s="67">
        <f t="shared" si="126"/>
        <v>1428.6</v>
      </c>
      <c r="S403" s="67">
        <f t="shared" si="126"/>
        <v>4118.8</v>
      </c>
      <c r="T403" s="67">
        <f t="shared" si="126"/>
        <v>2884.2</v>
      </c>
      <c r="U403" s="52">
        <f t="shared" si="121"/>
        <v>18723</v>
      </c>
      <c r="V403" s="34">
        <v>2024</v>
      </c>
      <c r="W403" s="4">
        <f t="shared" si="123"/>
        <v>-1262.1</v>
      </c>
      <c r="X403" s="4">
        <f t="shared" si="124"/>
        <v>433.5</v>
      </c>
      <c r="Y403" s="4"/>
      <c r="Z403" s="3"/>
    </row>
    <row r="404" spans="1:24" ht="51">
      <c r="A404" s="33" t="s">
        <v>254</v>
      </c>
      <c r="B404" s="34">
        <v>1</v>
      </c>
      <c r="C404" s="34">
        <v>3</v>
      </c>
      <c r="D404" s="34">
        <v>5</v>
      </c>
      <c r="E404" s="34">
        <v>0</v>
      </c>
      <c r="F404" s="34">
        <v>0</v>
      </c>
      <c r="G404" s="35"/>
      <c r="H404" s="54" t="s">
        <v>222</v>
      </c>
      <c r="I404" s="35" t="s">
        <v>260</v>
      </c>
      <c r="J404" s="40">
        <v>100</v>
      </c>
      <c r="K404" s="40">
        <v>100</v>
      </c>
      <c r="L404" s="40">
        <v>100</v>
      </c>
      <c r="M404" s="56">
        <v>100</v>
      </c>
      <c r="N404" s="56">
        <v>100</v>
      </c>
      <c r="O404" s="41">
        <v>100</v>
      </c>
      <c r="P404" s="41">
        <v>100</v>
      </c>
      <c r="Q404" s="41">
        <v>100</v>
      </c>
      <c r="R404" s="41">
        <v>100</v>
      </c>
      <c r="S404" s="41">
        <v>100</v>
      </c>
      <c r="T404" s="41">
        <v>100</v>
      </c>
      <c r="U404" s="40">
        <v>100</v>
      </c>
      <c r="V404" s="35">
        <v>2024</v>
      </c>
      <c r="W404" s="4">
        <f t="shared" si="123"/>
        <v>0</v>
      </c>
      <c r="X404" s="4">
        <f t="shared" si="124"/>
        <v>0</v>
      </c>
    </row>
    <row r="405" spans="1:24" ht="63.75">
      <c r="A405" s="33" t="s">
        <v>254</v>
      </c>
      <c r="B405" s="34">
        <v>1</v>
      </c>
      <c r="C405" s="34">
        <v>3</v>
      </c>
      <c r="D405" s="34">
        <v>5</v>
      </c>
      <c r="E405" s="34">
        <v>0</v>
      </c>
      <c r="F405" s="34">
        <v>0</v>
      </c>
      <c r="G405" s="35"/>
      <c r="H405" s="54" t="s">
        <v>240</v>
      </c>
      <c r="I405" s="35" t="s">
        <v>260</v>
      </c>
      <c r="J405" s="40">
        <v>84.8</v>
      </c>
      <c r="K405" s="40">
        <v>84.8</v>
      </c>
      <c r="L405" s="42">
        <v>59.2</v>
      </c>
      <c r="M405" s="40">
        <v>9.9</v>
      </c>
      <c r="N405" s="40">
        <v>14.6</v>
      </c>
      <c r="O405" s="40">
        <v>16.5</v>
      </c>
      <c r="P405" s="40">
        <v>7</v>
      </c>
      <c r="Q405" s="40">
        <v>8.2</v>
      </c>
      <c r="R405" s="42">
        <v>8.7</v>
      </c>
      <c r="S405" s="42">
        <v>59.2</v>
      </c>
      <c r="T405" s="42">
        <v>9.9</v>
      </c>
      <c r="U405" s="42">
        <v>100</v>
      </c>
      <c r="V405" s="35">
        <v>2024</v>
      </c>
      <c r="W405" s="4">
        <f t="shared" si="123"/>
        <v>1.9</v>
      </c>
      <c r="X405" s="4">
        <f t="shared" si="124"/>
        <v>1.2</v>
      </c>
    </row>
    <row r="406" spans="1:24" ht="38.25">
      <c r="A406" s="33"/>
      <c r="B406" s="34">
        <v>1</v>
      </c>
      <c r="C406" s="34">
        <v>3</v>
      </c>
      <c r="D406" s="34">
        <v>5</v>
      </c>
      <c r="E406" s="34">
        <v>0</v>
      </c>
      <c r="F406" s="34">
        <v>0</v>
      </c>
      <c r="G406" s="35"/>
      <c r="H406" s="54" t="s">
        <v>270</v>
      </c>
      <c r="I406" s="35" t="s">
        <v>260</v>
      </c>
      <c r="J406" s="40">
        <v>0</v>
      </c>
      <c r="K406" s="40">
        <v>0</v>
      </c>
      <c r="L406" s="42">
        <v>20.2</v>
      </c>
      <c r="M406" s="40">
        <v>58.7</v>
      </c>
      <c r="N406" s="40">
        <v>100</v>
      </c>
      <c r="O406" s="40">
        <v>100</v>
      </c>
      <c r="P406" s="40">
        <v>100</v>
      </c>
      <c r="Q406" s="40">
        <v>6.2</v>
      </c>
      <c r="R406" s="42">
        <v>17.6</v>
      </c>
      <c r="S406" s="42">
        <v>29.8</v>
      </c>
      <c r="T406" s="42">
        <v>58.7</v>
      </c>
      <c r="U406" s="42">
        <v>100</v>
      </c>
      <c r="V406" s="35">
        <v>2024</v>
      </c>
      <c r="W406" s="4">
        <f t="shared" si="123"/>
        <v>0</v>
      </c>
      <c r="X406" s="4">
        <f t="shared" si="124"/>
        <v>-93.8</v>
      </c>
    </row>
    <row r="407" spans="1:24" ht="51">
      <c r="A407" s="36" t="s">
        <v>254</v>
      </c>
      <c r="B407" s="37">
        <v>1</v>
      </c>
      <c r="C407" s="37">
        <v>3</v>
      </c>
      <c r="D407" s="37">
        <v>5</v>
      </c>
      <c r="E407" s="37">
        <v>0</v>
      </c>
      <c r="F407" s="37">
        <v>1</v>
      </c>
      <c r="G407" s="38"/>
      <c r="H407" s="43" t="s">
        <v>54</v>
      </c>
      <c r="I407" s="38" t="s">
        <v>279</v>
      </c>
      <c r="J407" s="44" t="s">
        <v>280</v>
      </c>
      <c r="K407" s="44" t="s">
        <v>280</v>
      </c>
      <c r="L407" s="44" t="s">
        <v>280</v>
      </c>
      <c r="M407" s="46" t="s">
        <v>280</v>
      </c>
      <c r="N407" s="46" t="s">
        <v>280</v>
      </c>
      <c r="O407" s="44" t="s">
        <v>280</v>
      </c>
      <c r="P407" s="44" t="s">
        <v>280</v>
      </c>
      <c r="Q407" s="44" t="s">
        <v>280</v>
      </c>
      <c r="R407" s="46" t="s">
        <v>280</v>
      </c>
      <c r="S407" s="46" t="s">
        <v>280</v>
      </c>
      <c r="T407" s="46" t="s">
        <v>280</v>
      </c>
      <c r="U407" s="44" t="s">
        <v>280</v>
      </c>
      <c r="V407" s="38">
        <v>2024</v>
      </c>
      <c r="W407" s="4"/>
      <c r="X407" s="4"/>
    </row>
    <row r="408" spans="1:26" s="24" customFormat="1" ht="38.25">
      <c r="A408" s="33" t="s">
        <v>254</v>
      </c>
      <c r="B408" s="34">
        <v>1</v>
      </c>
      <c r="C408" s="34">
        <v>3</v>
      </c>
      <c r="D408" s="34">
        <v>5</v>
      </c>
      <c r="E408" s="34">
        <v>0</v>
      </c>
      <c r="F408" s="34">
        <v>1</v>
      </c>
      <c r="G408" s="35"/>
      <c r="H408" s="39" t="s">
        <v>37</v>
      </c>
      <c r="I408" s="35" t="s">
        <v>294</v>
      </c>
      <c r="J408" s="47">
        <v>68</v>
      </c>
      <c r="K408" s="47">
        <v>68</v>
      </c>
      <c r="L408" s="47">
        <v>67</v>
      </c>
      <c r="M408" s="70">
        <v>66</v>
      </c>
      <c r="N408" s="70">
        <v>64</v>
      </c>
      <c r="O408" s="58">
        <v>64</v>
      </c>
      <c r="P408" s="58">
        <v>64</v>
      </c>
      <c r="Q408" s="58">
        <v>64</v>
      </c>
      <c r="R408" s="58">
        <v>64</v>
      </c>
      <c r="S408" s="58">
        <v>64</v>
      </c>
      <c r="T408" s="58">
        <v>64</v>
      </c>
      <c r="U408" s="70">
        <v>64</v>
      </c>
      <c r="V408" s="35">
        <v>2024</v>
      </c>
      <c r="W408" s="4">
        <f t="shared" si="123"/>
        <v>0</v>
      </c>
      <c r="X408" s="4">
        <f t="shared" si="124"/>
        <v>0</v>
      </c>
      <c r="Y408" s="23"/>
      <c r="Z408" s="23"/>
    </row>
    <row r="409" spans="1:26" s="7" customFormat="1" ht="51">
      <c r="A409" s="36" t="s">
        <v>254</v>
      </c>
      <c r="B409" s="37">
        <v>1</v>
      </c>
      <c r="C409" s="37">
        <v>3</v>
      </c>
      <c r="D409" s="37">
        <v>5</v>
      </c>
      <c r="E409" s="37">
        <v>0</v>
      </c>
      <c r="F409" s="37">
        <v>2</v>
      </c>
      <c r="G409" s="37"/>
      <c r="H409" s="49" t="s">
        <v>416</v>
      </c>
      <c r="I409" s="37" t="s">
        <v>255</v>
      </c>
      <c r="J409" s="45">
        <f aca="true" t="shared" si="127" ref="J409:Q409">J410</f>
        <v>0</v>
      </c>
      <c r="K409" s="45">
        <f t="shared" si="127"/>
        <v>0</v>
      </c>
      <c r="L409" s="45">
        <f t="shared" si="127"/>
        <v>4118.8</v>
      </c>
      <c r="M409" s="50">
        <f t="shared" si="127"/>
        <v>2867.5</v>
      </c>
      <c r="N409" s="50">
        <f t="shared" si="127"/>
        <v>3429</v>
      </c>
      <c r="O409" s="50">
        <f t="shared" si="127"/>
        <v>2166.9</v>
      </c>
      <c r="P409" s="50">
        <f t="shared" si="127"/>
        <v>704.7</v>
      </c>
      <c r="Q409" s="50">
        <f t="shared" si="127"/>
        <v>1138.2</v>
      </c>
      <c r="R409" s="50">
        <v>1428.6</v>
      </c>
      <c r="S409" s="50">
        <v>4118.8</v>
      </c>
      <c r="T409" s="50">
        <v>2884.2</v>
      </c>
      <c r="U409" s="45">
        <f>J409+K409+L409+M409+O409+Q409+R409+S409+T409</f>
        <v>18723</v>
      </c>
      <c r="V409" s="37">
        <v>2024</v>
      </c>
      <c r="W409" s="4">
        <f t="shared" si="123"/>
        <v>-1262.1</v>
      </c>
      <c r="X409" s="4">
        <f t="shared" si="124"/>
        <v>433.5</v>
      </c>
      <c r="Y409" s="4"/>
      <c r="Z409" s="3"/>
    </row>
    <row r="410" spans="1:26" s="7" customFormat="1" ht="12.75">
      <c r="A410" s="33" t="s">
        <v>254</v>
      </c>
      <c r="B410" s="34">
        <v>1</v>
      </c>
      <c r="C410" s="34">
        <v>3</v>
      </c>
      <c r="D410" s="34">
        <v>5</v>
      </c>
      <c r="E410" s="34">
        <v>0</v>
      </c>
      <c r="F410" s="34">
        <v>2</v>
      </c>
      <c r="G410" s="34">
        <v>3</v>
      </c>
      <c r="H410" s="51" t="s">
        <v>256</v>
      </c>
      <c r="I410" s="34" t="s">
        <v>255</v>
      </c>
      <c r="J410" s="55">
        <v>0</v>
      </c>
      <c r="K410" s="55">
        <v>0</v>
      </c>
      <c r="L410" s="55">
        <v>4118.8</v>
      </c>
      <c r="M410" s="71">
        <v>2867.5</v>
      </c>
      <c r="N410" s="71">
        <v>3429</v>
      </c>
      <c r="O410" s="67">
        <v>2166.9</v>
      </c>
      <c r="P410" s="67">
        <v>704.7</v>
      </c>
      <c r="Q410" s="72">
        <v>1138.2</v>
      </c>
      <c r="R410" s="72">
        <v>1428.6</v>
      </c>
      <c r="S410" s="72">
        <v>4118.8</v>
      </c>
      <c r="T410" s="72">
        <v>2884.2</v>
      </c>
      <c r="U410" s="52">
        <f>J410+K410+L410+M410+O410+Q410+R410+S410+T410</f>
        <v>18723</v>
      </c>
      <c r="V410" s="34">
        <v>2024</v>
      </c>
      <c r="W410" s="4">
        <f t="shared" si="123"/>
        <v>-1262.1</v>
      </c>
      <c r="X410" s="4">
        <f t="shared" si="124"/>
        <v>433.5</v>
      </c>
      <c r="Y410" s="4"/>
      <c r="Z410" s="3"/>
    </row>
    <row r="411" spans="1:24" ht="38.25">
      <c r="A411" s="33" t="s">
        <v>254</v>
      </c>
      <c r="B411" s="34">
        <v>1</v>
      </c>
      <c r="C411" s="34">
        <v>3</v>
      </c>
      <c r="D411" s="34">
        <v>5</v>
      </c>
      <c r="E411" s="34">
        <v>0</v>
      </c>
      <c r="F411" s="34">
        <v>2</v>
      </c>
      <c r="G411" s="35"/>
      <c r="H411" s="39" t="s">
        <v>211</v>
      </c>
      <c r="I411" s="35" t="s">
        <v>294</v>
      </c>
      <c r="J411" s="47">
        <v>0</v>
      </c>
      <c r="K411" s="47">
        <v>0</v>
      </c>
      <c r="L411" s="48">
        <v>2550</v>
      </c>
      <c r="M411" s="47">
        <v>426</v>
      </c>
      <c r="N411" s="47">
        <v>630</v>
      </c>
      <c r="O411" s="47">
        <v>711</v>
      </c>
      <c r="P411" s="47">
        <v>300</v>
      </c>
      <c r="Q411" s="47">
        <v>355</v>
      </c>
      <c r="R411" s="47">
        <v>373</v>
      </c>
      <c r="S411" s="48">
        <v>2550</v>
      </c>
      <c r="T411" s="48">
        <v>426</v>
      </c>
      <c r="U411" s="48">
        <f>J411+K411+L411+M411+O411+Q411+R411+S411+T411</f>
        <v>7391</v>
      </c>
      <c r="V411" s="35">
        <v>2024</v>
      </c>
      <c r="W411" s="4">
        <f t="shared" si="123"/>
        <v>81</v>
      </c>
      <c r="X411" s="4">
        <f t="shared" si="124"/>
        <v>55</v>
      </c>
    </row>
    <row r="412" spans="1:24" ht="25.5">
      <c r="A412" s="33" t="s">
        <v>254</v>
      </c>
      <c r="B412" s="34">
        <v>1</v>
      </c>
      <c r="C412" s="34">
        <v>3</v>
      </c>
      <c r="D412" s="34">
        <v>5</v>
      </c>
      <c r="E412" s="34">
        <v>0</v>
      </c>
      <c r="F412" s="34">
        <v>2</v>
      </c>
      <c r="G412" s="35"/>
      <c r="H412" s="39" t="s">
        <v>212</v>
      </c>
      <c r="I412" s="35" t="s">
        <v>294</v>
      </c>
      <c r="J412" s="47">
        <v>0</v>
      </c>
      <c r="K412" s="47">
        <v>0</v>
      </c>
      <c r="L412" s="48">
        <v>0</v>
      </c>
      <c r="M412" s="47">
        <v>55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8">
        <v>0</v>
      </c>
      <c r="T412" s="48">
        <v>0</v>
      </c>
      <c r="U412" s="48">
        <f>M412</f>
        <v>55</v>
      </c>
      <c r="V412" s="35">
        <v>2019</v>
      </c>
      <c r="W412" s="4">
        <f t="shared" si="123"/>
        <v>0</v>
      </c>
      <c r="X412" s="4">
        <f t="shared" si="124"/>
        <v>0</v>
      </c>
    </row>
    <row r="413" spans="1:24" ht="51">
      <c r="A413" s="33" t="s">
        <v>254</v>
      </c>
      <c r="B413" s="34">
        <v>1</v>
      </c>
      <c r="C413" s="34">
        <v>3</v>
      </c>
      <c r="D413" s="34">
        <v>5</v>
      </c>
      <c r="E413" s="34">
        <v>0</v>
      </c>
      <c r="F413" s="34">
        <v>2</v>
      </c>
      <c r="G413" s="35"/>
      <c r="H413" s="39" t="s">
        <v>33</v>
      </c>
      <c r="I413" s="35" t="s">
        <v>283</v>
      </c>
      <c r="J413" s="47">
        <v>0</v>
      </c>
      <c r="K413" s="47">
        <v>0</v>
      </c>
      <c r="L413" s="48">
        <v>1027</v>
      </c>
      <c r="M413" s="47">
        <v>1955</v>
      </c>
      <c r="N413" s="47">
        <v>1600</v>
      </c>
      <c r="O413" s="47">
        <v>460</v>
      </c>
      <c r="P413" s="47">
        <v>0</v>
      </c>
      <c r="Q413" s="47">
        <v>214</v>
      </c>
      <c r="R413" s="47">
        <v>392</v>
      </c>
      <c r="S413" s="48">
        <v>1027</v>
      </c>
      <c r="T413" s="48">
        <v>1955</v>
      </c>
      <c r="U413" s="48">
        <f>J413+K413+L413+M413+O413+Q413+R413+S413+T413</f>
        <v>7030</v>
      </c>
      <c r="V413" s="35">
        <v>2024</v>
      </c>
      <c r="W413" s="4">
        <f t="shared" si="123"/>
        <v>-1140</v>
      </c>
      <c r="X413" s="4">
        <f t="shared" si="124"/>
        <v>214</v>
      </c>
    </row>
    <row r="414" spans="1:25" ht="38.25">
      <c r="A414" s="158" t="s">
        <v>254</v>
      </c>
      <c r="B414" s="89">
        <v>1</v>
      </c>
      <c r="C414" s="89">
        <v>4</v>
      </c>
      <c r="D414" s="89">
        <v>0</v>
      </c>
      <c r="E414" s="89">
        <v>0</v>
      </c>
      <c r="F414" s="89">
        <v>0</v>
      </c>
      <c r="G414" s="89"/>
      <c r="H414" s="159" t="s">
        <v>133</v>
      </c>
      <c r="I414" s="89" t="s">
        <v>255</v>
      </c>
      <c r="J414" s="75">
        <f aca="true" t="shared" si="128" ref="J414:T414">J415+J416+J417</f>
        <v>6563.9</v>
      </c>
      <c r="K414" s="75">
        <f t="shared" si="128"/>
        <v>3385.8</v>
      </c>
      <c r="L414" s="75">
        <f t="shared" si="128"/>
        <v>500</v>
      </c>
      <c r="M414" s="62">
        <f t="shared" si="128"/>
        <v>1928</v>
      </c>
      <c r="N414" s="62">
        <f>N415+N416+N417</f>
        <v>310</v>
      </c>
      <c r="O414" s="62">
        <f t="shared" si="128"/>
        <v>310</v>
      </c>
      <c r="P414" s="62">
        <f>P415+P416+P417</f>
        <v>330</v>
      </c>
      <c r="Q414" s="62">
        <f t="shared" si="128"/>
        <v>6894</v>
      </c>
      <c r="R414" s="62">
        <f t="shared" si="128"/>
        <v>329.9</v>
      </c>
      <c r="S414" s="62">
        <f t="shared" si="128"/>
        <v>330</v>
      </c>
      <c r="T414" s="62">
        <f t="shared" si="128"/>
        <v>330</v>
      </c>
      <c r="U414" s="75">
        <f aca="true" t="shared" si="129" ref="U414:U421">J414+K414+L414+M414+O414+Q414+R414+S414+T414</f>
        <v>20571.6</v>
      </c>
      <c r="V414" s="89">
        <v>2024</v>
      </c>
      <c r="W414" s="4">
        <f t="shared" si="123"/>
        <v>0</v>
      </c>
      <c r="X414" s="4">
        <f t="shared" si="124"/>
        <v>6564</v>
      </c>
      <c r="Y414" s="4"/>
    </row>
    <row r="415" spans="1:25" ht="12.75">
      <c r="A415" s="33" t="s">
        <v>254</v>
      </c>
      <c r="B415" s="34">
        <v>1</v>
      </c>
      <c r="C415" s="34">
        <v>4</v>
      </c>
      <c r="D415" s="34">
        <v>0</v>
      </c>
      <c r="E415" s="34">
        <v>0</v>
      </c>
      <c r="F415" s="34">
        <v>0</v>
      </c>
      <c r="G415" s="34">
        <v>3</v>
      </c>
      <c r="H415" s="51" t="s">
        <v>256</v>
      </c>
      <c r="I415" s="34" t="s">
        <v>255</v>
      </c>
      <c r="J415" s="135">
        <f aca="true" t="shared" si="130" ref="J415:T415">J419+J433</f>
        <v>603.9</v>
      </c>
      <c r="K415" s="135">
        <f t="shared" si="130"/>
        <v>657.8</v>
      </c>
      <c r="L415" s="135">
        <f t="shared" si="130"/>
        <v>500</v>
      </c>
      <c r="M415" s="73">
        <f t="shared" si="130"/>
        <v>300</v>
      </c>
      <c r="N415" s="73">
        <f>N419+N433</f>
        <v>310</v>
      </c>
      <c r="O415" s="73">
        <f t="shared" si="130"/>
        <v>310</v>
      </c>
      <c r="P415" s="73">
        <f>P419+P433</f>
        <v>330</v>
      </c>
      <c r="Q415" s="73">
        <f t="shared" si="130"/>
        <v>6894</v>
      </c>
      <c r="R415" s="73">
        <f t="shared" si="130"/>
        <v>329.9</v>
      </c>
      <c r="S415" s="73">
        <f t="shared" si="130"/>
        <v>330</v>
      </c>
      <c r="T415" s="73">
        <f t="shared" si="130"/>
        <v>330</v>
      </c>
      <c r="U415" s="52">
        <f t="shared" si="129"/>
        <v>10255.6</v>
      </c>
      <c r="V415" s="34">
        <v>2024</v>
      </c>
      <c r="W415" s="4">
        <f t="shared" si="123"/>
        <v>0</v>
      </c>
      <c r="X415" s="4">
        <f t="shared" si="124"/>
        <v>6564</v>
      </c>
      <c r="Y415" s="4"/>
    </row>
    <row r="416" spans="1:25" ht="12.75">
      <c r="A416" s="33" t="s">
        <v>254</v>
      </c>
      <c r="B416" s="34">
        <v>1</v>
      </c>
      <c r="C416" s="34">
        <v>4</v>
      </c>
      <c r="D416" s="34">
        <v>0</v>
      </c>
      <c r="E416" s="34">
        <v>0</v>
      </c>
      <c r="F416" s="34">
        <v>0</v>
      </c>
      <c r="G416" s="34">
        <v>2</v>
      </c>
      <c r="H416" s="51" t="s">
        <v>257</v>
      </c>
      <c r="I416" s="35" t="s">
        <v>255</v>
      </c>
      <c r="J416" s="52">
        <f aca="true" t="shared" si="131" ref="J416:L417">J420</f>
        <v>2130.8</v>
      </c>
      <c r="K416" s="52">
        <f t="shared" si="131"/>
        <v>409.2</v>
      </c>
      <c r="L416" s="52">
        <f t="shared" si="131"/>
        <v>0</v>
      </c>
      <c r="M416" s="67">
        <f>M420</f>
        <v>162.8</v>
      </c>
      <c r="N416" s="67">
        <f>N420</f>
        <v>0</v>
      </c>
      <c r="O416" s="67">
        <v>0</v>
      </c>
      <c r="P416" s="67">
        <v>0</v>
      </c>
      <c r="Q416" s="67">
        <v>0</v>
      </c>
      <c r="R416" s="67">
        <f aca="true" t="shared" si="132" ref="R416:T417">R420</f>
        <v>0</v>
      </c>
      <c r="S416" s="67">
        <f t="shared" si="132"/>
        <v>0</v>
      </c>
      <c r="T416" s="67">
        <f t="shared" si="132"/>
        <v>0</v>
      </c>
      <c r="U416" s="52">
        <f t="shared" si="129"/>
        <v>2702.8</v>
      </c>
      <c r="V416" s="34">
        <v>2017</v>
      </c>
      <c r="W416" s="4">
        <f t="shared" si="123"/>
        <v>0</v>
      </c>
      <c r="X416" s="4">
        <f t="shared" si="124"/>
        <v>0</v>
      </c>
      <c r="Y416" s="4"/>
    </row>
    <row r="417" spans="1:25" ht="12.75">
      <c r="A417" s="33" t="s">
        <v>254</v>
      </c>
      <c r="B417" s="34">
        <v>1</v>
      </c>
      <c r="C417" s="34">
        <v>4</v>
      </c>
      <c r="D417" s="34">
        <v>0</v>
      </c>
      <c r="E417" s="34">
        <v>0</v>
      </c>
      <c r="F417" s="34">
        <v>0</v>
      </c>
      <c r="G417" s="34">
        <v>1</v>
      </c>
      <c r="H417" s="51" t="s">
        <v>258</v>
      </c>
      <c r="I417" s="35" t="s">
        <v>255</v>
      </c>
      <c r="J417" s="52">
        <f t="shared" si="131"/>
        <v>3829.2</v>
      </c>
      <c r="K417" s="52">
        <f t="shared" si="131"/>
        <v>2318.8</v>
      </c>
      <c r="L417" s="52">
        <f t="shared" si="131"/>
        <v>0</v>
      </c>
      <c r="M417" s="67">
        <f>M421</f>
        <v>1465.2</v>
      </c>
      <c r="N417" s="67">
        <f>N421</f>
        <v>0</v>
      </c>
      <c r="O417" s="67">
        <v>0</v>
      </c>
      <c r="P417" s="67">
        <v>0</v>
      </c>
      <c r="Q417" s="67">
        <v>0</v>
      </c>
      <c r="R417" s="67">
        <f t="shared" si="132"/>
        <v>0</v>
      </c>
      <c r="S417" s="67">
        <f t="shared" si="132"/>
        <v>0</v>
      </c>
      <c r="T417" s="67">
        <f t="shared" si="132"/>
        <v>0</v>
      </c>
      <c r="U417" s="52">
        <f t="shared" si="129"/>
        <v>7613.2</v>
      </c>
      <c r="V417" s="34">
        <v>2017</v>
      </c>
      <c r="W417" s="4">
        <f t="shared" si="123"/>
        <v>0</v>
      </c>
      <c r="X417" s="4">
        <f t="shared" si="124"/>
        <v>0</v>
      </c>
      <c r="Y417" s="4"/>
    </row>
    <row r="418" spans="1:26" s="7" customFormat="1" ht="63.75">
      <c r="A418" s="31" t="s">
        <v>254</v>
      </c>
      <c r="B418" s="32">
        <v>1</v>
      </c>
      <c r="C418" s="32">
        <v>4</v>
      </c>
      <c r="D418" s="32">
        <v>1</v>
      </c>
      <c r="E418" s="32">
        <v>0</v>
      </c>
      <c r="F418" s="32">
        <v>0</v>
      </c>
      <c r="G418" s="32"/>
      <c r="H418" s="30" t="s">
        <v>38</v>
      </c>
      <c r="I418" s="32" t="s">
        <v>255</v>
      </c>
      <c r="J418" s="68">
        <f aca="true" t="shared" si="133" ref="J418:T418">J419+J420+J421</f>
        <v>6563.9</v>
      </c>
      <c r="K418" s="68">
        <f t="shared" si="133"/>
        <v>3365.8</v>
      </c>
      <c r="L418" s="68">
        <f t="shared" si="133"/>
        <v>476</v>
      </c>
      <c r="M418" s="68">
        <f t="shared" si="133"/>
        <v>1908</v>
      </c>
      <c r="N418" s="68">
        <f>N419+N420+N421</f>
        <v>290</v>
      </c>
      <c r="O418" s="68">
        <f t="shared" si="133"/>
        <v>290</v>
      </c>
      <c r="P418" s="68">
        <f>P419+P420+P421</f>
        <v>300</v>
      </c>
      <c r="Q418" s="68">
        <f t="shared" si="133"/>
        <v>6864</v>
      </c>
      <c r="R418" s="68">
        <f t="shared" si="133"/>
        <v>299.9</v>
      </c>
      <c r="S418" s="68">
        <f t="shared" si="133"/>
        <v>300</v>
      </c>
      <c r="T418" s="68">
        <f t="shared" si="133"/>
        <v>300</v>
      </c>
      <c r="U418" s="68">
        <f t="shared" si="129"/>
        <v>20367.6</v>
      </c>
      <c r="V418" s="32">
        <v>2024</v>
      </c>
      <c r="W418" s="4">
        <f t="shared" si="123"/>
        <v>0</v>
      </c>
      <c r="X418" s="4">
        <f t="shared" si="124"/>
        <v>6564</v>
      </c>
      <c r="Y418" s="4"/>
      <c r="Z418" s="3"/>
    </row>
    <row r="419" spans="1:26" s="7" customFormat="1" ht="12.75">
      <c r="A419" s="33" t="s">
        <v>254</v>
      </c>
      <c r="B419" s="34">
        <v>1</v>
      </c>
      <c r="C419" s="34">
        <v>4</v>
      </c>
      <c r="D419" s="34">
        <v>1</v>
      </c>
      <c r="E419" s="34">
        <v>0</v>
      </c>
      <c r="F419" s="34">
        <v>0</v>
      </c>
      <c r="G419" s="34">
        <v>3</v>
      </c>
      <c r="H419" s="51" t="s">
        <v>256</v>
      </c>
      <c r="I419" s="34" t="s">
        <v>255</v>
      </c>
      <c r="J419" s="52">
        <f aca="true" t="shared" si="134" ref="J419:K421">J427</f>
        <v>603.9</v>
      </c>
      <c r="K419" s="52">
        <f t="shared" si="134"/>
        <v>637.8</v>
      </c>
      <c r="L419" s="52">
        <f aca="true" t="shared" si="135" ref="L419:M421">L427</f>
        <v>476</v>
      </c>
      <c r="M419" s="67">
        <f t="shared" si="135"/>
        <v>280</v>
      </c>
      <c r="N419" s="67">
        <f aca="true" t="shared" si="136" ref="N419:T419">N427</f>
        <v>290</v>
      </c>
      <c r="O419" s="67">
        <f t="shared" si="136"/>
        <v>290</v>
      </c>
      <c r="P419" s="67">
        <f t="shared" si="136"/>
        <v>300</v>
      </c>
      <c r="Q419" s="67">
        <f t="shared" si="136"/>
        <v>6864</v>
      </c>
      <c r="R419" s="67">
        <f t="shared" si="136"/>
        <v>299.9</v>
      </c>
      <c r="S419" s="67">
        <f t="shared" si="136"/>
        <v>300</v>
      </c>
      <c r="T419" s="67">
        <f t="shared" si="136"/>
        <v>300</v>
      </c>
      <c r="U419" s="52">
        <f t="shared" si="129"/>
        <v>10051.6</v>
      </c>
      <c r="V419" s="124">
        <v>2024</v>
      </c>
      <c r="W419" s="4">
        <f t="shared" si="123"/>
        <v>0</v>
      </c>
      <c r="X419" s="4">
        <f t="shared" si="124"/>
        <v>6564</v>
      </c>
      <c r="Y419" s="4"/>
      <c r="Z419" s="3"/>
    </row>
    <row r="420" spans="1:26" s="7" customFormat="1" ht="12.75">
      <c r="A420" s="33" t="s">
        <v>254</v>
      </c>
      <c r="B420" s="34">
        <v>1</v>
      </c>
      <c r="C420" s="34">
        <v>4</v>
      </c>
      <c r="D420" s="34">
        <v>1</v>
      </c>
      <c r="E420" s="34">
        <v>0</v>
      </c>
      <c r="F420" s="34">
        <v>0</v>
      </c>
      <c r="G420" s="34">
        <v>2</v>
      </c>
      <c r="H420" s="51" t="s">
        <v>257</v>
      </c>
      <c r="I420" s="34" t="s">
        <v>255</v>
      </c>
      <c r="J420" s="52">
        <f t="shared" si="134"/>
        <v>2130.8</v>
      </c>
      <c r="K420" s="52">
        <f t="shared" si="134"/>
        <v>409.2</v>
      </c>
      <c r="L420" s="52">
        <f t="shared" si="135"/>
        <v>0</v>
      </c>
      <c r="M420" s="67">
        <f t="shared" si="135"/>
        <v>162.8</v>
      </c>
      <c r="N420" s="67">
        <f>N428</f>
        <v>0</v>
      </c>
      <c r="O420" s="67">
        <v>0</v>
      </c>
      <c r="P420" s="67">
        <v>0</v>
      </c>
      <c r="Q420" s="67">
        <v>0</v>
      </c>
      <c r="R420" s="67">
        <f aca="true" t="shared" si="137" ref="R420:T421">R428</f>
        <v>0</v>
      </c>
      <c r="S420" s="67">
        <f t="shared" si="137"/>
        <v>0</v>
      </c>
      <c r="T420" s="67">
        <f t="shared" si="137"/>
        <v>0</v>
      </c>
      <c r="U420" s="52">
        <f t="shared" si="129"/>
        <v>2702.8</v>
      </c>
      <c r="V420" s="34">
        <v>2017</v>
      </c>
      <c r="W420" s="4">
        <f t="shared" si="123"/>
        <v>0</v>
      </c>
      <c r="X420" s="4">
        <f t="shared" si="124"/>
        <v>0</v>
      </c>
      <c r="Y420" s="4"/>
      <c r="Z420" s="3"/>
    </row>
    <row r="421" spans="1:26" s="7" customFormat="1" ht="12.75">
      <c r="A421" s="33" t="s">
        <v>254</v>
      </c>
      <c r="B421" s="34">
        <v>1</v>
      </c>
      <c r="C421" s="34">
        <v>4</v>
      </c>
      <c r="D421" s="34">
        <v>1</v>
      </c>
      <c r="E421" s="34">
        <v>0</v>
      </c>
      <c r="F421" s="34">
        <v>0</v>
      </c>
      <c r="G421" s="34">
        <v>1</v>
      </c>
      <c r="H421" s="51" t="s">
        <v>258</v>
      </c>
      <c r="I421" s="34" t="s">
        <v>255</v>
      </c>
      <c r="J421" s="52">
        <f t="shared" si="134"/>
        <v>3829.2</v>
      </c>
      <c r="K421" s="52">
        <f t="shared" si="134"/>
        <v>2318.8</v>
      </c>
      <c r="L421" s="52">
        <f t="shared" si="135"/>
        <v>0</v>
      </c>
      <c r="M421" s="67">
        <f t="shared" si="135"/>
        <v>1465.2</v>
      </c>
      <c r="N421" s="67">
        <f>N429</f>
        <v>0</v>
      </c>
      <c r="O421" s="67">
        <v>0</v>
      </c>
      <c r="P421" s="67">
        <v>0</v>
      </c>
      <c r="Q421" s="67">
        <v>0</v>
      </c>
      <c r="R421" s="67">
        <f t="shared" si="137"/>
        <v>0</v>
      </c>
      <c r="S421" s="67">
        <f t="shared" si="137"/>
        <v>0</v>
      </c>
      <c r="T421" s="67">
        <f t="shared" si="137"/>
        <v>0</v>
      </c>
      <c r="U421" s="52">
        <f t="shared" si="129"/>
        <v>7613.2</v>
      </c>
      <c r="V421" s="34">
        <v>2017</v>
      </c>
      <c r="W421" s="4">
        <f t="shared" si="123"/>
        <v>0</v>
      </c>
      <c r="X421" s="4">
        <f t="shared" si="124"/>
        <v>0</v>
      </c>
      <c r="Y421" s="4"/>
      <c r="Z421" s="3"/>
    </row>
    <row r="422" spans="1:24" ht="63.75">
      <c r="A422" s="33" t="s">
        <v>254</v>
      </c>
      <c r="B422" s="34">
        <v>1</v>
      </c>
      <c r="C422" s="34">
        <v>4</v>
      </c>
      <c r="D422" s="34">
        <v>1</v>
      </c>
      <c r="E422" s="34">
        <v>0</v>
      </c>
      <c r="F422" s="34">
        <v>0</v>
      </c>
      <c r="G422" s="35"/>
      <c r="H422" s="39" t="s">
        <v>40</v>
      </c>
      <c r="I422" s="35" t="s">
        <v>260</v>
      </c>
      <c r="J422" s="40">
        <v>97</v>
      </c>
      <c r="K422" s="40">
        <v>97.2</v>
      </c>
      <c r="L422" s="42">
        <v>100</v>
      </c>
      <c r="M422" s="42">
        <v>100</v>
      </c>
      <c r="N422" s="42">
        <v>100</v>
      </c>
      <c r="O422" s="40">
        <v>100</v>
      </c>
      <c r="P422" s="40">
        <v>100</v>
      </c>
      <c r="Q422" s="40">
        <v>100</v>
      </c>
      <c r="R422" s="42">
        <v>100</v>
      </c>
      <c r="S422" s="42">
        <v>100</v>
      </c>
      <c r="T422" s="42">
        <v>100</v>
      </c>
      <c r="U422" s="42">
        <v>100</v>
      </c>
      <c r="V422" s="35">
        <v>2024</v>
      </c>
      <c r="W422" s="4">
        <f t="shared" si="123"/>
        <v>0</v>
      </c>
      <c r="X422" s="4">
        <f t="shared" si="124"/>
        <v>0</v>
      </c>
    </row>
    <row r="423" spans="1:24" ht="63.75">
      <c r="A423" s="33" t="s">
        <v>254</v>
      </c>
      <c r="B423" s="34">
        <v>1</v>
      </c>
      <c r="C423" s="34">
        <v>4</v>
      </c>
      <c r="D423" s="34">
        <v>1</v>
      </c>
      <c r="E423" s="34">
        <v>0</v>
      </c>
      <c r="F423" s="34">
        <v>0</v>
      </c>
      <c r="G423" s="35"/>
      <c r="H423" s="39" t="s">
        <v>41</v>
      </c>
      <c r="I423" s="35" t="s">
        <v>260</v>
      </c>
      <c r="J423" s="40">
        <v>3.8</v>
      </c>
      <c r="K423" s="40">
        <v>3.8</v>
      </c>
      <c r="L423" s="42">
        <v>3.7</v>
      </c>
      <c r="M423" s="42">
        <v>3.7</v>
      </c>
      <c r="N423" s="42">
        <v>3.6</v>
      </c>
      <c r="O423" s="40">
        <v>3.6</v>
      </c>
      <c r="P423" s="40">
        <v>3.5</v>
      </c>
      <c r="Q423" s="40">
        <v>3.5</v>
      </c>
      <c r="R423" s="42">
        <v>3.5</v>
      </c>
      <c r="S423" s="42">
        <v>3.5</v>
      </c>
      <c r="T423" s="42">
        <v>3.5</v>
      </c>
      <c r="U423" s="42">
        <v>3.5</v>
      </c>
      <c r="V423" s="35">
        <v>2024</v>
      </c>
      <c r="W423" s="4">
        <f>O423-N423</f>
        <v>0</v>
      </c>
      <c r="X423" s="4">
        <f t="shared" si="124"/>
        <v>0</v>
      </c>
    </row>
    <row r="424" spans="1:24" ht="51">
      <c r="A424" s="36" t="s">
        <v>254</v>
      </c>
      <c r="B424" s="37">
        <v>1</v>
      </c>
      <c r="C424" s="37">
        <v>4</v>
      </c>
      <c r="D424" s="37">
        <v>1</v>
      </c>
      <c r="E424" s="37">
        <v>0</v>
      </c>
      <c r="F424" s="37">
        <v>1</v>
      </c>
      <c r="G424" s="38"/>
      <c r="H424" s="43" t="s">
        <v>55</v>
      </c>
      <c r="I424" s="38" t="s">
        <v>279</v>
      </c>
      <c r="J424" s="44" t="s">
        <v>280</v>
      </c>
      <c r="K424" s="44" t="s">
        <v>280</v>
      </c>
      <c r="L424" s="45" t="s">
        <v>280</v>
      </c>
      <c r="M424" s="46" t="s">
        <v>280</v>
      </c>
      <c r="N424" s="46" t="s">
        <v>280</v>
      </c>
      <c r="O424" s="45" t="s">
        <v>280</v>
      </c>
      <c r="P424" s="45" t="s">
        <v>280</v>
      </c>
      <c r="Q424" s="45" t="s">
        <v>280</v>
      </c>
      <c r="R424" s="46" t="s">
        <v>280</v>
      </c>
      <c r="S424" s="46" t="s">
        <v>280</v>
      </c>
      <c r="T424" s="46" t="s">
        <v>280</v>
      </c>
      <c r="U424" s="44" t="s">
        <v>280</v>
      </c>
      <c r="V424" s="38">
        <v>2024</v>
      </c>
      <c r="W424" s="4"/>
      <c r="X424" s="4"/>
    </row>
    <row r="425" spans="1:24" ht="38.25">
      <c r="A425" s="33" t="s">
        <v>254</v>
      </c>
      <c r="B425" s="34">
        <v>1</v>
      </c>
      <c r="C425" s="34">
        <v>4</v>
      </c>
      <c r="D425" s="34">
        <v>1</v>
      </c>
      <c r="E425" s="34">
        <v>0</v>
      </c>
      <c r="F425" s="34">
        <v>1</v>
      </c>
      <c r="G425" s="35"/>
      <c r="H425" s="39" t="s">
        <v>181</v>
      </c>
      <c r="I425" s="35" t="s">
        <v>294</v>
      </c>
      <c r="J425" s="47">
        <v>1</v>
      </c>
      <c r="K425" s="47">
        <v>1</v>
      </c>
      <c r="L425" s="47">
        <v>1</v>
      </c>
      <c r="M425" s="70">
        <v>1</v>
      </c>
      <c r="N425" s="70">
        <v>1</v>
      </c>
      <c r="O425" s="70">
        <v>1</v>
      </c>
      <c r="P425" s="70">
        <v>1</v>
      </c>
      <c r="Q425" s="70">
        <v>1</v>
      </c>
      <c r="R425" s="70">
        <v>1</v>
      </c>
      <c r="S425" s="70">
        <v>1</v>
      </c>
      <c r="T425" s="70">
        <v>1</v>
      </c>
      <c r="U425" s="47">
        <f>J425+K425+L425+M425+O425+Q425+R425+S425+T425</f>
        <v>9</v>
      </c>
      <c r="V425" s="35">
        <v>2024</v>
      </c>
      <c r="W425" s="4">
        <f t="shared" si="123"/>
        <v>0</v>
      </c>
      <c r="X425" s="4">
        <f t="shared" si="124"/>
        <v>0</v>
      </c>
    </row>
    <row r="426" spans="1:26" s="7" customFormat="1" ht="51">
      <c r="A426" s="36" t="s">
        <v>254</v>
      </c>
      <c r="B426" s="37">
        <v>1</v>
      </c>
      <c r="C426" s="37">
        <v>4</v>
      </c>
      <c r="D426" s="37">
        <v>1</v>
      </c>
      <c r="E426" s="37">
        <v>0</v>
      </c>
      <c r="F426" s="37">
        <v>2</v>
      </c>
      <c r="G426" s="37"/>
      <c r="H426" s="49" t="s">
        <v>417</v>
      </c>
      <c r="I426" s="37" t="s">
        <v>255</v>
      </c>
      <c r="J426" s="45">
        <f>J427+J428+J429</f>
        <v>6563.9</v>
      </c>
      <c r="K426" s="45">
        <f>K427+K428+K429</f>
        <v>3365.8</v>
      </c>
      <c r="L426" s="45">
        <f>L427</f>
        <v>476</v>
      </c>
      <c r="M426" s="50">
        <f>M427+M429+M428</f>
        <v>1908</v>
      </c>
      <c r="N426" s="50">
        <f>N427+N429+N428</f>
        <v>290</v>
      </c>
      <c r="O426" s="45">
        <f aca="true" t="shared" si="138" ref="O426:T426">O427+O428+O429</f>
        <v>290</v>
      </c>
      <c r="P426" s="45">
        <f t="shared" si="138"/>
        <v>300</v>
      </c>
      <c r="Q426" s="45">
        <f t="shared" si="138"/>
        <v>6864</v>
      </c>
      <c r="R426" s="50">
        <f t="shared" si="138"/>
        <v>299.9</v>
      </c>
      <c r="S426" s="50">
        <f t="shared" si="138"/>
        <v>300</v>
      </c>
      <c r="T426" s="50">
        <f t="shared" si="138"/>
        <v>300</v>
      </c>
      <c r="U426" s="45">
        <f>J426+K426+L426+M426+O426+Q426+R426+S426+T426</f>
        <v>20367.6</v>
      </c>
      <c r="V426" s="37">
        <v>2024</v>
      </c>
      <c r="W426" s="4">
        <f t="shared" si="123"/>
        <v>0</v>
      </c>
      <c r="X426" s="4">
        <f t="shared" si="124"/>
        <v>6564</v>
      </c>
      <c r="Y426" s="4"/>
      <c r="Z426" s="3"/>
    </row>
    <row r="427" spans="1:26" s="7" customFormat="1" ht="12.75">
      <c r="A427" s="33" t="s">
        <v>254</v>
      </c>
      <c r="B427" s="34">
        <v>1</v>
      </c>
      <c r="C427" s="34">
        <v>4</v>
      </c>
      <c r="D427" s="34">
        <v>1</v>
      </c>
      <c r="E427" s="34">
        <v>0</v>
      </c>
      <c r="F427" s="34">
        <v>2</v>
      </c>
      <c r="G427" s="34">
        <v>3</v>
      </c>
      <c r="H427" s="51" t="s">
        <v>256</v>
      </c>
      <c r="I427" s="34" t="s">
        <v>255</v>
      </c>
      <c r="J427" s="55">
        <f>243.9+360</f>
        <v>603.9</v>
      </c>
      <c r="K427" s="55">
        <f>387.8+250</f>
        <v>637.8</v>
      </c>
      <c r="L427" s="55">
        <v>476</v>
      </c>
      <c r="M427" s="71">
        <v>280</v>
      </c>
      <c r="N427" s="71">
        <v>290</v>
      </c>
      <c r="O427" s="71">
        <v>290</v>
      </c>
      <c r="P427" s="71">
        <v>300</v>
      </c>
      <c r="Q427" s="71">
        <v>6864</v>
      </c>
      <c r="R427" s="71">
        <v>299.9</v>
      </c>
      <c r="S427" s="71">
        <v>300</v>
      </c>
      <c r="T427" s="71">
        <v>300</v>
      </c>
      <c r="U427" s="52">
        <f>J427+K427+L427+M427+O427+Q427+R427+S427+T427</f>
        <v>10051.6</v>
      </c>
      <c r="V427" s="34">
        <v>2024</v>
      </c>
      <c r="W427" s="4">
        <f t="shared" si="123"/>
        <v>0</v>
      </c>
      <c r="X427" s="4">
        <f t="shared" si="124"/>
        <v>6564</v>
      </c>
      <c r="Y427" s="4"/>
      <c r="Z427" s="3"/>
    </row>
    <row r="428" spans="1:26" s="7" customFormat="1" ht="12.75">
      <c r="A428" s="33" t="s">
        <v>254</v>
      </c>
      <c r="B428" s="34">
        <v>1</v>
      </c>
      <c r="C428" s="34">
        <v>4</v>
      </c>
      <c r="D428" s="34">
        <v>1</v>
      </c>
      <c r="E428" s="34">
        <v>0</v>
      </c>
      <c r="F428" s="34">
        <v>2</v>
      </c>
      <c r="G428" s="34">
        <v>2</v>
      </c>
      <c r="H428" s="51" t="s">
        <v>257</v>
      </c>
      <c r="I428" s="34" t="s">
        <v>255</v>
      </c>
      <c r="J428" s="52">
        <f>932.6+798.2+400</f>
        <v>2130.8</v>
      </c>
      <c r="K428" s="52">
        <v>409.2</v>
      </c>
      <c r="L428" s="52">
        <v>0</v>
      </c>
      <c r="M428" s="67">
        <v>162.8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52">
        <f>J428+K428+L428+M428+O428+Q428+R428+S428+T428</f>
        <v>2702.8</v>
      </c>
      <c r="V428" s="34">
        <v>2017</v>
      </c>
      <c r="W428" s="4">
        <f t="shared" si="123"/>
        <v>0</v>
      </c>
      <c r="X428" s="4">
        <f t="shared" si="124"/>
        <v>0</v>
      </c>
      <c r="Y428" s="4"/>
      <c r="Z428" s="3"/>
    </row>
    <row r="429" spans="1:26" s="7" customFormat="1" ht="12.75">
      <c r="A429" s="33" t="s">
        <v>254</v>
      </c>
      <c r="B429" s="34">
        <v>1</v>
      </c>
      <c r="C429" s="34">
        <v>4</v>
      </c>
      <c r="D429" s="34">
        <v>1</v>
      </c>
      <c r="E429" s="34">
        <v>0</v>
      </c>
      <c r="F429" s="34">
        <v>2</v>
      </c>
      <c r="G429" s="34">
        <v>1</v>
      </c>
      <c r="H429" s="51" t="s">
        <v>258</v>
      </c>
      <c r="I429" s="34" t="s">
        <v>255</v>
      </c>
      <c r="J429" s="52">
        <f>2069.2+1260+500</f>
        <v>3829.2</v>
      </c>
      <c r="K429" s="52">
        <v>2318.8</v>
      </c>
      <c r="L429" s="52">
        <v>0</v>
      </c>
      <c r="M429" s="67">
        <v>1465.2</v>
      </c>
      <c r="N429" s="67">
        <v>0</v>
      </c>
      <c r="O429" s="67">
        <v>0</v>
      </c>
      <c r="P429" s="67">
        <v>0</v>
      </c>
      <c r="Q429" s="67">
        <v>0</v>
      </c>
      <c r="R429" s="67">
        <v>0</v>
      </c>
      <c r="S429" s="67">
        <v>0</v>
      </c>
      <c r="T429" s="67">
        <v>0</v>
      </c>
      <c r="U429" s="52">
        <f>J429+K429+L429+M429+O429+Q429+R429+S429+T429</f>
        <v>7613.2</v>
      </c>
      <c r="V429" s="34">
        <v>2017</v>
      </c>
      <c r="W429" s="4">
        <f t="shared" si="123"/>
        <v>0</v>
      </c>
      <c r="X429" s="4">
        <f t="shared" si="124"/>
        <v>0</v>
      </c>
      <c r="Y429" s="4"/>
      <c r="Z429" s="3"/>
    </row>
    <row r="430" spans="1:24" ht="76.5">
      <c r="A430" s="33" t="s">
        <v>254</v>
      </c>
      <c r="B430" s="34">
        <v>1</v>
      </c>
      <c r="C430" s="34">
        <v>4</v>
      </c>
      <c r="D430" s="34">
        <v>1</v>
      </c>
      <c r="E430" s="34">
        <v>0</v>
      </c>
      <c r="F430" s="34">
        <v>2</v>
      </c>
      <c r="G430" s="35"/>
      <c r="H430" s="54" t="s">
        <v>174</v>
      </c>
      <c r="I430" s="35" t="s">
        <v>294</v>
      </c>
      <c r="J430" s="47">
        <v>7</v>
      </c>
      <c r="K430" s="47">
        <v>8</v>
      </c>
      <c r="L430" s="47">
        <v>14</v>
      </c>
      <c r="M430" s="70">
        <v>14</v>
      </c>
      <c r="N430" s="70">
        <v>14</v>
      </c>
      <c r="O430" s="70">
        <v>14</v>
      </c>
      <c r="P430" s="70">
        <v>14</v>
      </c>
      <c r="Q430" s="70">
        <v>14</v>
      </c>
      <c r="R430" s="70">
        <v>14</v>
      </c>
      <c r="S430" s="70">
        <v>14</v>
      </c>
      <c r="T430" s="70">
        <v>14</v>
      </c>
      <c r="U430" s="47">
        <v>14</v>
      </c>
      <c r="V430" s="35">
        <v>2024</v>
      </c>
      <c r="W430" s="4">
        <f t="shared" si="123"/>
        <v>0</v>
      </c>
      <c r="X430" s="4">
        <f t="shared" si="124"/>
        <v>0</v>
      </c>
    </row>
    <row r="431" spans="1:24" ht="51">
      <c r="A431" s="33" t="s">
        <v>254</v>
      </c>
      <c r="B431" s="34">
        <v>1</v>
      </c>
      <c r="C431" s="34">
        <v>4</v>
      </c>
      <c r="D431" s="34">
        <v>1</v>
      </c>
      <c r="E431" s="34">
        <v>0</v>
      </c>
      <c r="F431" s="34">
        <v>2</v>
      </c>
      <c r="G431" s="35"/>
      <c r="H431" s="54" t="s">
        <v>98</v>
      </c>
      <c r="I431" s="35" t="s">
        <v>294</v>
      </c>
      <c r="J431" s="47">
        <v>2</v>
      </c>
      <c r="K431" s="47">
        <v>1</v>
      </c>
      <c r="L431" s="47">
        <v>2</v>
      </c>
      <c r="M431" s="70">
        <v>2</v>
      </c>
      <c r="N431" s="70">
        <v>2</v>
      </c>
      <c r="O431" s="70">
        <v>2</v>
      </c>
      <c r="P431" s="70">
        <v>2</v>
      </c>
      <c r="Q431" s="70">
        <v>2</v>
      </c>
      <c r="R431" s="70">
        <v>2</v>
      </c>
      <c r="S431" s="70">
        <v>2</v>
      </c>
      <c r="T431" s="70">
        <v>2</v>
      </c>
      <c r="U431" s="47">
        <v>2</v>
      </c>
      <c r="V431" s="35">
        <v>2024</v>
      </c>
      <c r="W431" s="4">
        <f t="shared" si="123"/>
        <v>0</v>
      </c>
      <c r="X431" s="4">
        <f t="shared" si="124"/>
        <v>0</v>
      </c>
    </row>
    <row r="432" spans="1:26" s="7" customFormat="1" ht="51">
      <c r="A432" s="31" t="s">
        <v>254</v>
      </c>
      <c r="B432" s="32">
        <v>1</v>
      </c>
      <c r="C432" s="32">
        <v>4</v>
      </c>
      <c r="D432" s="32">
        <v>2</v>
      </c>
      <c r="E432" s="32">
        <v>0</v>
      </c>
      <c r="F432" s="32">
        <v>0</v>
      </c>
      <c r="G432" s="32"/>
      <c r="H432" s="30" t="s">
        <v>42</v>
      </c>
      <c r="I432" s="32" t="s">
        <v>255</v>
      </c>
      <c r="J432" s="68">
        <v>0</v>
      </c>
      <c r="K432" s="68">
        <f aca="true" t="shared" si="139" ref="K432:Q432">K433</f>
        <v>20</v>
      </c>
      <c r="L432" s="68">
        <f t="shared" si="139"/>
        <v>24</v>
      </c>
      <c r="M432" s="68">
        <f t="shared" si="139"/>
        <v>20</v>
      </c>
      <c r="N432" s="68">
        <f t="shared" si="139"/>
        <v>20</v>
      </c>
      <c r="O432" s="68">
        <f t="shared" si="139"/>
        <v>20</v>
      </c>
      <c r="P432" s="68">
        <f t="shared" si="139"/>
        <v>30</v>
      </c>
      <c r="Q432" s="68">
        <f t="shared" si="139"/>
        <v>30</v>
      </c>
      <c r="R432" s="68">
        <v>30</v>
      </c>
      <c r="S432" s="68">
        <v>30</v>
      </c>
      <c r="T432" s="68">
        <v>30</v>
      </c>
      <c r="U432" s="68">
        <f>J432+K432+L432+M432+O432+Q432+R432+S432+T432</f>
        <v>204</v>
      </c>
      <c r="V432" s="32">
        <v>2024</v>
      </c>
      <c r="W432" s="4">
        <f t="shared" si="123"/>
        <v>0</v>
      </c>
      <c r="X432" s="4">
        <f t="shared" si="124"/>
        <v>0</v>
      </c>
      <c r="Y432" s="4"/>
      <c r="Z432" s="3"/>
    </row>
    <row r="433" spans="1:26" s="7" customFormat="1" ht="12.75">
      <c r="A433" s="33" t="s">
        <v>254</v>
      </c>
      <c r="B433" s="34">
        <v>1</v>
      </c>
      <c r="C433" s="34">
        <v>4</v>
      </c>
      <c r="D433" s="34">
        <v>2</v>
      </c>
      <c r="E433" s="34">
        <v>0</v>
      </c>
      <c r="F433" s="34">
        <v>0</v>
      </c>
      <c r="G433" s="34">
        <v>3</v>
      </c>
      <c r="H433" s="51" t="s">
        <v>256</v>
      </c>
      <c r="I433" s="34" t="s">
        <v>255</v>
      </c>
      <c r="J433" s="52">
        <v>0</v>
      </c>
      <c r="K433" s="52">
        <f aca="true" t="shared" si="140" ref="K433:P433">K439</f>
        <v>20</v>
      </c>
      <c r="L433" s="52">
        <f t="shared" si="140"/>
        <v>24</v>
      </c>
      <c r="M433" s="67">
        <f t="shared" si="140"/>
        <v>20</v>
      </c>
      <c r="N433" s="67">
        <f t="shared" si="140"/>
        <v>20</v>
      </c>
      <c r="O433" s="67">
        <f t="shared" si="140"/>
        <v>20</v>
      </c>
      <c r="P433" s="67">
        <f t="shared" si="140"/>
        <v>30</v>
      </c>
      <c r="Q433" s="67">
        <v>30</v>
      </c>
      <c r="R433" s="67">
        <v>30</v>
      </c>
      <c r="S433" s="67">
        <v>30</v>
      </c>
      <c r="T433" s="67">
        <v>30</v>
      </c>
      <c r="U433" s="52">
        <f>J433+K433+L433+M433+O433+Q433+R433+S433+T433</f>
        <v>204</v>
      </c>
      <c r="V433" s="136">
        <v>2024</v>
      </c>
      <c r="W433" s="4">
        <f t="shared" si="123"/>
        <v>0</v>
      </c>
      <c r="X433" s="4">
        <f t="shared" si="124"/>
        <v>0</v>
      </c>
      <c r="Y433" s="4"/>
      <c r="Z433" s="3"/>
    </row>
    <row r="434" spans="1:24" ht="63.75">
      <c r="A434" s="33" t="s">
        <v>254</v>
      </c>
      <c r="B434" s="34">
        <v>1</v>
      </c>
      <c r="C434" s="34">
        <v>4</v>
      </c>
      <c r="D434" s="34">
        <v>2</v>
      </c>
      <c r="E434" s="34">
        <v>0</v>
      </c>
      <c r="F434" s="34">
        <v>0</v>
      </c>
      <c r="G434" s="35"/>
      <c r="H434" s="39" t="s">
        <v>43</v>
      </c>
      <c r="I434" s="35" t="s">
        <v>260</v>
      </c>
      <c r="J434" s="40">
        <v>60</v>
      </c>
      <c r="K434" s="40">
        <v>58.7</v>
      </c>
      <c r="L434" s="42">
        <v>81.3</v>
      </c>
      <c r="M434" s="40">
        <v>88.8</v>
      </c>
      <c r="N434" s="40">
        <v>93.8</v>
      </c>
      <c r="O434" s="40">
        <v>88.2</v>
      </c>
      <c r="P434" s="40">
        <v>100</v>
      </c>
      <c r="Q434" s="40">
        <v>94.1</v>
      </c>
      <c r="R434" s="40">
        <v>100</v>
      </c>
      <c r="S434" s="40">
        <v>94.7</v>
      </c>
      <c r="T434" s="40">
        <v>100</v>
      </c>
      <c r="U434" s="42">
        <v>100</v>
      </c>
      <c r="V434" s="35">
        <v>2024</v>
      </c>
      <c r="W434" s="4">
        <f t="shared" si="123"/>
        <v>-5.6</v>
      </c>
      <c r="X434" s="4">
        <f t="shared" si="124"/>
        <v>-5.9</v>
      </c>
    </row>
    <row r="435" spans="1:24" ht="76.5">
      <c r="A435" s="33" t="s">
        <v>254</v>
      </c>
      <c r="B435" s="34">
        <v>1</v>
      </c>
      <c r="C435" s="34">
        <v>4</v>
      </c>
      <c r="D435" s="34">
        <v>2</v>
      </c>
      <c r="E435" s="34">
        <v>0</v>
      </c>
      <c r="F435" s="34">
        <v>0</v>
      </c>
      <c r="G435" s="35"/>
      <c r="H435" s="39" t="s">
        <v>44</v>
      </c>
      <c r="I435" s="35" t="s">
        <v>255</v>
      </c>
      <c r="J435" s="40">
        <v>0</v>
      </c>
      <c r="K435" s="40">
        <v>2.2</v>
      </c>
      <c r="L435" s="42">
        <v>3.4</v>
      </c>
      <c r="M435" s="40">
        <v>2</v>
      </c>
      <c r="N435" s="40">
        <v>5</v>
      </c>
      <c r="O435" s="40">
        <v>5</v>
      </c>
      <c r="P435" s="40">
        <v>6</v>
      </c>
      <c r="Q435" s="40">
        <v>6</v>
      </c>
      <c r="R435" s="40">
        <v>6</v>
      </c>
      <c r="S435" s="40">
        <v>6</v>
      </c>
      <c r="T435" s="40">
        <v>6</v>
      </c>
      <c r="U435" s="40">
        <v>6</v>
      </c>
      <c r="V435" s="35">
        <v>2024</v>
      </c>
      <c r="W435" s="4">
        <f t="shared" si="123"/>
        <v>0</v>
      </c>
      <c r="X435" s="4">
        <f t="shared" si="124"/>
        <v>0</v>
      </c>
    </row>
    <row r="436" spans="1:24" ht="63.75">
      <c r="A436" s="36" t="s">
        <v>254</v>
      </c>
      <c r="B436" s="37">
        <v>1</v>
      </c>
      <c r="C436" s="37">
        <v>4</v>
      </c>
      <c r="D436" s="37">
        <v>2</v>
      </c>
      <c r="E436" s="37">
        <v>0</v>
      </c>
      <c r="F436" s="37">
        <v>1</v>
      </c>
      <c r="G436" s="38"/>
      <c r="H436" s="43" t="s">
        <v>56</v>
      </c>
      <c r="I436" s="38" t="s">
        <v>279</v>
      </c>
      <c r="J436" s="44" t="s">
        <v>335</v>
      </c>
      <c r="K436" s="44" t="s">
        <v>280</v>
      </c>
      <c r="L436" s="45" t="s">
        <v>280</v>
      </c>
      <c r="M436" s="46" t="s">
        <v>280</v>
      </c>
      <c r="N436" s="46" t="s">
        <v>280</v>
      </c>
      <c r="O436" s="45" t="s">
        <v>280</v>
      </c>
      <c r="P436" s="45" t="s">
        <v>280</v>
      </c>
      <c r="Q436" s="45" t="s">
        <v>280</v>
      </c>
      <c r="R436" s="46" t="s">
        <v>280</v>
      </c>
      <c r="S436" s="46" t="s">
        <v>280</v>
      </c>
      <c r="T436" s="46" t="s">
        <v>280</v>
      </c>
      <c r="U436" s="46" t="s">
        <v>280</v>
      </c>
      <c r="V436" s="38">
        <v>2024</v>
      </c>
      <c r="W436" s="4"/>
      <c r="X436" s="4"/>
    </row>
    <row r="437" spans="1:24" ht="38.25">
      <c r="A437" s="33" t="s">
        <v>254</v>
      </c>
      <c r="B437" s="34">
        <v>1</v>
      </c>
      <c r="C437" s="34">
        <v>4</v>
      </c>
      <c r="D437" s="34">
        <v>2</v>
      </c>
      <c r="E437" s="34">
        <v>0</v>
      </c>
      <c r="F437" s="34">
        <v>1</v>
      </c>
      <c r="G437" s="35"/>
      <c r="H437" s="39" t="s">
        <v>97</v>
      </c>
      <c r="I437" s="35" t="s">
        <v>294</v>
      </c>
      <c r="J437" s="47">
        <v>0</v>
      </c>
      <c r="K437" s="47">
        <v>1</v>
      </c>
      <c r="L437" s="47">
        <v>1</v>
      </c>
      <c r="M437" s="70">
        <v>1</v>
      </c>
      <c r="N437" s="70">
        <v>1</v>
      </c>
      <c r="O437" s="70">
        <v>1</v>
      </c>
      <c r="P437" s="70">
        <v>1</v>
      </c>
      <c r="Q437" s="70">
        <v>1</v>
      </c>
      <c r="R437" s="70">
        <v>1</v>
      </c>
      <c r="S437" s="70">
        <v>1</v>
      </c>
      <c r="T437" s="70">
        <v>1</v>
      </c>
      <c r="U437" s="47">
        <f aca="true" t="shared" si="141" ref="U437:U447">J437+K437+L437+M437+O437+Q437+R437+S437+T437</f>
        <v>8</v>
      </c>
      <c r="V437" s="35">
        <v>2024</v>
      </c>
      <c r="W437" s="4">
        <f t="shared" si="123"/>
        <v>0</v>
      </c>
      <c r="X437" s="4">
        <f t="shared" si="124"/>
        <v>0</v>
      </c>
    </row>
    <row r="438" spans="1:26" s="7" customFormat="1" ht="63.75">
      <c r="A438" s="36" t="s">
        <v>254</v>
      </c>
      <c r="B438" s="37">
        <v>1</v>
      </c>
      <c r="C438" s="37">
        <v>4</v>
      </c>
      <c r="D438" s="37">
        <v>2</v>
      </c>
      <c r="E438" s="37">
        <v>0</v>
      </c>
      <c r="F438" s="37">
        <v>2</v>
      </c>
      <c r="G438" s="37"/>
      <c r="H438" s="49" t="s">
        <v>418</v>
      </c>
      <c r="I438" s="37" t="s">
        <v>255</v>
      </c>
      <c r="J438" s="45">
        <f aca="true" t="shared" si="142" ref="J438:T438">J439</f>
        <v>0</v>
      </c>
      <c r="K438" s="45">
        <f t="shared" si="142"/>
        <v>20</v>
      </c>
      <c r="L438" s="45">
        <f t="shared" si="142"/>
        <v>24</v>
      </c>
      <c r="M438" s="50">
        <f t="shared" si="142"/>
        <v>20</v>
      </c>
      <c r="N438" s="50">
        <f t="shared" si="142"/>
        <v>20</v>
      </c>
      <c r="O438" s="45">
        <f t="shared" si="142"/>
        <v>20</v>
      </c>
      <c r="P438" s="45">
        <f t="shared" si="142"/>
        <v>30</v>
      </c>
      <c r="Q438" s="45">
        <f t="shared" si="142"/>
        <v>30</v>
      </c>
      <c r="R438" s="50">
        <f t="shared" si="142"/>
        <v>30</v>
      </c>
      <c r="S438" s="50">
        <f t="shared" si="142"/>
        <v>30</v>
      </c>
      <c r="T438" s="50">
        <f t="shared" si="142"/>
        <v>30</v>
      </c>
      <c r="U438" s="45">
        <f t="shared" si="141"/>
        <v>204</v>
      </c>
      <c r="V438" s="37">
        <v>2024</v>
      </c>
      <c r="W438" s="4">
        <f t="shared" si="123"/>
        <v>0</v>
      </c>
      <c r="X438" s="4">
        <f t="shared" si="124"/>
        <v>0</v>
      </c>
      <c r="Y438" s="4"/>
      <c r="Z438" s="3"/>
    </row>
    <row r="439" spans="1:26" s="7" customFormat="1" ht="12.75">
      <c r="A439" s="33" t="s">
        <v>254</v>
      </c>
      <c r="B439" s="34">
        <v>1</v>
      </c>
      <c r="C439" s="34">
        <v>4</v>
      </c>
      <c r="D439" s="34">
        <v>2</v>
      </c>
      <c r="E439" s="34">
        <v>0</v>
      </c>
      <c r="F439" s="34">
        <v>2</v>
      </c>
      <c r="G439" s="34">
        <v>3</v>
      </c>
      <c r="H439" s="51" t="s">
        <v>256</v>
      </c>
      <c r="I439" s="34" t="s">
        <v>255</v>
      </c>
      <c r="J439" s="52">
        <v>0</v>
      </c>
      <c r="K439" s="52">
        <v>20</v>
      </c>
      <c r="L439" s="52">
        <v>24</v>
      </c>
      <c r="M439" s="67">
        <v>20</v>
      </c>
      <c r="N439" s="67">
        <v>20</v>
      </c>
      <c r="O439" s="67">
        <v>20</v>
      </c>
      <c r="P439" s="67">
        <v>30</v>
      </c>
      <c r="Q439" s="67">
        <v>30</v>
      </c>
      <c r="R439" s="67">
        <v>30</v>
      </c>
      <c r="S439" s="67">
        <v>30</v>
      </c>
      <c r="T439" s="67">
        <v>30</v>
      </c>
      <c r="U439" s="52">
        <f t="shared" si="141"/>
        <v>204</v>
      </c>
      <c r="V439" s="34">
        <v>2024</v>
      </c>
      <c r="W439" s="4">
        <f t="shared" si="123"/>
        <v>0</v>
      </c>
      <c r="X439" s="4">
        <f t="shared" si="124"/>
        <v>0</v>
      </c>
      <c r="Y439" s="4"/>
      <c r="Z439" s="3"/>
    </row>
    <row r="440" spans="1:24" ht="25.5">
      <c r="A440" s="33" t="s">
        <v>254</v>
      </c>
      <c r="B440" s="34">
        <v>1</v>
      </c>
      <c r="C440" s="34">
        <v>4</v>
      </c>
      <c r="D440" s="34">
        <v>2</v>
      </c>
      <c r="E440" s="34">
        <v>0</v>
      </c>
      <c r="F440" s="34">
        <v>2</v>
      </c>
      <c r="G440" s="35"/>
      <c r="H440" s="54" t="s">
        <v>45</v>
      </c>
      <c r="I440" s="35" t="s">
        <v>283</v>
      </c>
      <c r="J440" s="137">
        <v>0</v>
      </c>
      <c r="K440" s="137">
        <v>8</v>
      </c>
      <c r="L440" s="104">
        <v>9</v>
      </c>
      <c r="M440" s="137">
        <v>9</v>
      </c>
      <c r="N440" s="137">
        <v>3</v>
      </c>
      <c r="O440" s="137">
        <v>3</v>
      </c>
      <c r="P440" s="137">
        <v>4</v>
      </c>
      <c r="Q440" s="137">
        <v>4</v>
      </c>
      <c r="R440" s="104">
        <v>4</v>
      </c>
      <c r="S440" s="104">
        <v>4</v>
      </c>
      <c r="T440" s="104">
        <v>4</v>
      </c>
      <c r="U440" s="48">
        <f t="shared" si="141"/>
        <v>45</v>
      </c>
      <c r="V440" s="35">
        <v>2024</v>
      </c>
      <c r="W440" s="4">
        <f t="shared" si="123"/>
        <v>0</v>
      </c>
      <c r="X440" s="4">
        <f t="shared" si="124"/>
        <v>0</v>
      </c>
    </row>
    <row r="441" spans="1:24" ht="51">
      <c r="A441" s="33" t="s">
        <v>254</v>
      </c>
      <c r="B441" s="34">
        <v>1</v>
      </c>
      <c r="C441" s="34">
        <v>4</v>
      </c>
      <c r="D441" s="34">
        <v>2</v>
      </c>
      <c r="E441" s="34">
        <v>0</v>
      </c>
      <c r="F441" s="34">
        <v>2</v>
      </c>
      <c r="G441" s="35"/>
      <c r="H441" s="183" t="s">
        <v>46</v>
      </c>
      <c r="I441" s="35" t="s">
        <v>283</v>
      </c>
      <c r="J441" s="47">
        <v>0</v>
      </c>
      <c r="K441" s="47">
        <v>1</v>
      </c>
      <c r="L441" s="48">
        <v>1</v>
      </c>
      <c r="M441" s="48">
        <v>1</v>
      </c>
      <c r="N441" s="48">
        <v>1</v>
      </c>
      <c r="O441" s="47">
        <v>1</v>
      </c>
      <c r="P441" s="47">
        <v>1</v>
      </c>
      <c r="Q441" s="47">
        <v>1</v>
      </c>
      <c r="R441" s="48">
        <v>1</v>
      </c>
      <c r="S441" s="48">
        <v>1</v>
      </c>
      <c r="T441" s="48">
        <v>1</v>
      </c>
      <c r="U441" s="48">
        <f t="shared" si="141"/>
        <v>8</v>
      </c>
      <c r="V441" s="35">
        <v>2024</v>
      </c>
      <c r="W441" s="4">
        <f t="shared" si="123"/>
        <v>0</v>
      </c>
      <c r="X441" s="4">
        <f t="shared" si="124"/>
        <v>0</v>
      </c>
    </row>
    <row r="442" spans="1:26" s="7" customFormat="1" ht="38.25">
      <c r="A442" s="158" t="s">
        <v>254</v>
      </c>
      <c r="B442" s="89">
        <v>1</v>
      </c>
      <c r="C442" s="89">
        <v>5</v>
      </c>
      <c r="D442" s="89">
        <v>0</v>
      </c>
      <c r="E442" s="89">
        <v>0</v>
      </c>
      <c r="F442" s="89">
        <v>0</v>
      </c>
      <c r="G442" s="89"/>
      <c r="H442" s="159" t="s">
        <v>134</v>
      </c>
      <c r="I442" s="89" t="s">
        <v>255</v>
      </c>
      <c r="J442" s="75">
        <f aca="true" t="shared" si="143" ref="J442:T442">J443+J444</f>
        <v>60170.7</v>
      </c>
      <c r="K442" s="75">
        <f t="shared" si="143"/>
        <v>90551.3</v>
      </c>
      <c r="L442" s="75">
        <f t="shared" si="143"/>
        <v>41710.8</v>
      </c>
      <c r="M442" s="62">
        <f t="shared" si="143"/>
        <v>44031.9</v>
      </c>
      <c r="N442" s="62">
        <f>N443+N444</f>
        <v>11598.3</v>
      </c>
      <c r="O442" s="62">
        <f t="shared" si="143"/>
        <v>11598.3</v>
      </c>
      <c r="P442" s="62">
        <f>P443+P444</f>
        <v>11598.3</v>
      </c>
      <c r="Q442" s="62">
        <f t="shared" si="143"/>
        <v>11598.3</v>
      </c>
      <c r="R442" s="62">
        <f t="shared" si="143"/>
        <v>11598.3</v>
      </c>
      <c r="S442" s="62">
        <f t="shared" si="143"/>
        <v>11598.3</v>
      </c>
      <c r="T442" s="62">
        <f t="shared" si="143"/>
        <v>11598.3</v>
      </c>
      <c r="U442" s="75">
        <f t="shared" si="141"/>
        <v>294456.2</v>
      </c>
      <c r="V442" s="89">
        <v>2024</v>
      </c>
      <c r="W442" s="4">
        <f t="shared" si="123"/>
        <v>0</v>
      </c>
      <c r="X442" s="4">
        <f t="shared" si="124"/>
        <v>0</v>
      </c>
      <c r="Y442" s="4"/>
      <c r="Z442" s="3"/>
    </row>
    <row r="443" spans="1:26" s="7" customFormat="1" ht="12.75">
      <c r="A443" s="33" t="s">
        <v>254</v>
      </c>
      <c r="B443" s="34">
        <v>1</v>
      </c>
      <c r="C443" s="34">
        <v>5</v>
      </c>
      <c r="D443" s="34">
        <v>0</v>
      </c>
      <c r="E443" s="34">
        <v>0</v>
      </c>
      <c r="F443" s="34">
        <v>0</v>
      </c>
      <c r="G443" s="34">
        <v>3</v>
      </c>
      <c r="H443" s="51" t="s">
        <v>256</v>
      </c>
      <c r="I443" s="34" t="s">
        <v>255</v>
      </c>
      <c r="J443" s="52">
        <f aca="true" t="shared" si="144" ref="J443:T443">J446+J458+J470+J499</f>
        <v>59227.5</v>
      </c>
      <c r="K443" s="52">
        <f t="shared" si="144"/>
        <v>89592.3</v>
      </c>
      <c r="L443" s="52">
        <f t="shared" si="144"/>
        <v>40544.2</v>
      </c>
      <c r="M443" s="67">
        <f>M446+M458+M470+M499</f>
        <v>42916.6</v>
      </c>
      <c r="N443" s="67">
        <f>N446+N458+N470+N499</f>
        <v>10675</v>
      </c>
      <c r="O443" s="67">
        <f t="shared" si="144"/>
        <v>10675</v>
      </c>
      <c r="P443" s="67">
        <f>P446+P458+P470+P499</f>
        <v>10675</v>
      </c>
      <c r="Q443" s="67">
        <f t="shared" si="144"/>
        <v>10675</v>
      </c>
      <c r="R443" s="67">
        <f t="shared" si="144"/>
        <v>10675</v>
      </c>
      <c r="S443" s="67">
        <f t="shared" si="144"/>
        <v>10675</v>
      </c>
      <c r="T443" s="67">
        <f t="shared" si="144"/>
        <v>10675</v>
      </c>
      <c r="U443" s="52">
        <f t="shared" si="141"/>
        <v>285655.6</v>
      </c>
      <c r="V443" s="34">
        <v>2024</v>
      </c>
      <c r="W443" s="4">
        <f t="shared" si="123"/>
        <v>0</v>
      </c>
      <c r="X443" s="4">
        <f t="shared" si="124"/>
        <v>0</v>
      </c>
      <c r="Y443" s="4"/>
      <c r="Z443" s="3"/>
    </row>
    <row r="444" spans="1:26" s="7" customFormat="1" ht="12.75">
      <c r="A444" s="33" t="s">
        <v>254</v>
      </c>
      <c r="B444" s="34">
        <v>1</v>
      </c>
      <c r="C444" s="34">
        <v>5</v>
      </c>
      <c r="D444" s="34">
        <v>0</v>
      </c>
      <c r="E444" s="34">
        <v>0</v>
      </c>
      <c r="F444" s="34">
        <v>0</v>
      </c>
      <c r="G444" s="34">
        <v>2</v>
      </c>
      <c r="H444" s="51" t="s">
        <v>257</v>
      </c>
      <c r="I444" s="34" t="s">
        <v>255</v>
      </c>
      <c r="J444" s="52">
        <f aca="true" t="shared" si="145" ref="J444:T444">J471</f>
        <v>943.2</v>
      </c>
      <c r="K444" s="52">
        <f t="shared" si="145"/>
        <v>959</v>
      </c>
      <c r="L444" s="52">
        <f t="shared" si="145"/>
        <v>1166.6</v>
      </c>
      <c r="M444" s="67">
        <f t="shared" si="145"/>
        <v>1115.3</v>
      </c>
      <c r="N444" s="67">
        <f>N471</f>
        <v>923.3</v>
      </c>
      <c r="O444" s="67">
        <f t="shared" si="145"/>
        <v>923.3</v>
      </c>
      <c r="P444" s="67">
        <f>P471</f>
        <v>923.3</v>
      </c>
      <c r="Q444" s="67">
        <f t="shared" si="145"/>
        <v>923.3</v>
      </c>
      <c r="R444" s="67">
        <f t="shared" si="145"/>
        <v>923.3</v>
      </c>
      <c r="S444" s="67">
        <f t="shared" si="145"/>
        <v>923.3</v>
      </c>
      <c r="T444" s="67">
        <f t="shared" si="145"/>
        <v>923.3</v>
      </c>
      <c r="U444" s="52">
        <f t="shared" si="141"/>
        <v>8800.6</v>
      </c>
      <c r="V444" s="34">
        <v>2024</v>
      </c>
      <c r="W444" s="4">
        <f t="shared" si="123"/>
        <v>0</v>
      </c>
      <c r="X444" s="4">
        <f t="shared" si="124"/>
        <v>0</v>
      </c>
      <c r="Y444" s="4"/>
      <c r="Z444" s="3"/>
    </row>
    <row r="445" spans="1:26" s="7" customFormat="1" ht="25.5">
      <c r="A445" s="31" t="s">
        <v>254</v>
      </c>
      <c r="B445" s="32">
        <v>1</v>
      </c>
      <c r="C445" s="32">
        <v>5</v>
      </c>
      <c r="D445" s="32">
        <v>1</v>
      </c>
      <c r="E445" s="32">
        <v>0</v>
      </c>
      <c r="F445" s="32">
        <v>0</v>
      </c>
      <c r="G445" s="32"/>
      <c r="H445" s="30" t="s">
        <v>157</v>
      </c>
      <c r="I445" s="32" t="s">
        <v>255</v>
      </c>
      <c r="J445" s="68">
        <f aca="true" t="shared" si="146" ref="J445:T445">J446</f>
        <v>300</v>
      </c>
      <c r="K445" s="68">
        <f t="shared" si="146"/>
        <v>300</v>
      </c>
      <c r="L445" s="68">
        <f t="shared" si="146"/>
        <v>254</v>
      </c>
      <c r="M445" s="68">
        <f t="shared" si="146"/>
        <v>300</v>
      </c>
      <c r="N445" s="68">
        <f t="shared" si="146"/>
        <v>300</v>
      </c>
      <c r="O445" s="68">
        <f t="shared" si="146"/>
        <v>300</v>
      </c>
      <c r="P445" s="68">
        <f t="shared" si="146"/>
        <v>300</v>
      </c>
      <c r="Q445" s="68">
        <f t="shared" si="146"/>
        <v>300</v>
      </c>
      <c r="R445" s="68">
        <f t="shared" si="146"/>
        <v>300</v>
      </c>
      <c r="S445" s="68">
        <f t="shared" si="146"/>
        <v>300</v>
      </c>
      <c r="T445" s="68">
        <f t="shared" si="146"/>
        <v>300</v>
      </c>
      <c r="U445" s="68">
        <f t="shared" si="141"/>
        <v>2654</v>
      </c>
      <c r="V445" s="32">
        <v>2024</v>
      </c>
      <c r="W445" s="4">
        <f t="shared" si="123"/>
        <v>0</v>
      </c>
      <c r="X445" s="4">
        <f t="shared" si="124"/>
        <v>0</v>
      </c>
      <c r="Y445" s="4"/>
      <c r="Z445" s="3"/>
    </row>
    <row r="446" spans="1:26" s="7" customFormat="1" ht="12.75">
      <c r="A446" s="33" t="s">
        <v>254</v>
      </c>
      <c r="B446" s="34">
        <v>1</v>
      </c>
      <c r="C446" s="34">
        <v>5</v>
      </c>
      <c r="D446" s="34">
        <v>1</v>
      </c>
      <c r="E446" s="34">
        <v>0</v>
      </c>
      <c r="F446" s="34">
        <v>0</v>
      </c>
      <c r="G446" s="34">
        <v>3</v>
      </c>
      <c r="H446" s="51" t="s">
        <v>256</v>
      </c>
      <c r="I446" s="34" t="s">
        <v>255</v>
      </c>
      <c r="J446" s="52">
        <f aca="true" t="shared" si="147" ref="J446:T446">J453</f>
        <v>300</v>
      </c>
      <c r="K446" s="52">
        <f t="shared" si="147"/>
        <v>300</v>
      </c>
      <c r="L446" s="52">
        <f t="shared" si="147"/>
        <v>254</v>
      </c>
      <c r="M446" s="67">
        <f t="shared" si="147"/>
        <v>300</v>
      </c>
      <c r="N446" s="67">
        <f>N453</f>
        <v>300</v>
      </c>
      <c r="O446" s="67">
        <f t="shared" si="147"/>
        <v>300</v>
      </c>
      <c r="P446" s="67">
        <f>P453</f>
        <v>300</v>
      </c>
      <c r="Q446" s="67">
        <f t="shared" si="147"/>
        <v>300</v>
      </c>
      <c r="R446" s="67">
        <f t="shared" si="147"/>
        <v>300</v>
      </c>
      <c r="S446" s="67">
        <f t="shared" si="147"/>
        <v>300</v>
      </c>
      <c r="T446" s="67">
        <f t="shared" si="147"/>
        <v>300</v>
      </c>
      <c r="U446" s="52">
        <f t="shared" si="141"/>
        <v>2654</v>
      </c>
      <c r="V446" s="34">
        <v>2024</v>
      </c>
      <c r="W446" s="4">
        <f t="shared" si="123"/>
        <v>0</v>
      </c>
      <c r="X446" s="4">
        <f t="shared" si="124"/>
        <v>0</v>
      </c>
      <c r="Y446" s="4"/>
      <c r="Z446" s="3"/>
    </row>
    <row r="447" spans="1:24" ht="38.25">
      <c r="A447" s="33" t="s">
        <v>254</v>
      </c>
      <c r="B447" s="34">
        <v>1</v>
      </c>
      <c r="C447" s="34">
        <v>5</v>
      </c>
      <c r="D447" s="34">
        <v>1</v>
      </c>
      <c r="E447" s="34">
        <v>0</v>
      </c>
      <c r="F447" s="34">
        <v>0</v>
      </c>
      <c r="G447" s="35"/>
      <c r="H447" s="39" t="s">
        <v>158</v>
      </c>
      <c r="I447" s="35" t="s">
        <v>294</v>
      </c>
      <c r="J447" s="137">
        <v>1</v>
      </c>
      <c r="K447" s="137">
        <v>1</v>
      </c>
      <c r="L447" s="137">
        <v>1</v>
      </c>
      <c r="M447" s="74">
        <v>1</v>
      </c>
      <c r="N447" s="74">
        <v>1</v>
      </c>
      <c r="O447" s="74">
        <v>1</v>
      </c>
      <c r="P447" s="74">
        <v>1</v>
      </c>
      <c r="Q447" s="74">
        <v>1</v>
      </c>
      <c r="R447" s="74">
        <v>1</v>
      </c>
      <c r="S447" s="74">
        <v>1</v>
      </c>
      <c r="T447" s="74">
        <v>1</v>
      </c>
      <c r="U447" s="137">
        <f t="shared" si="141"/>
        <v>9</v>
      </c>
      <c r="V447" s="35">
        <v>2024</v>
      </c>
      <c r="W447" s="4">
        <f t="shared" si="123"/>
        <v>0</v>
      </c>
      <c r="X447" s="4">
        <f t="shared" si="124"/>
        <v>0</v>
      </c>
    </row>
    <row r="448" spans="1:24" ht="51">
      <c r="A448" s="33" t="s">
        <v>254</v>
      </c>
      <c r="B448" s="34">
        <v>1</v>
      </c>
      <c r="C448" s="34">
        <v>5</v>
      </c>
      <c r="D448" s="34">
        <v>1</v>
      </c>
      <c r="E448" s="34">
        <v>0</v>
      </c>
      <c r="F448" s="34">
        <v>0</v>
      </c>
      <c r="G448" s="35"/>
      <c r="H448" s="39" t="s">
        <v>159</v>
      </c>
      <c r="I448" s="35" t="s">
        <v>260</v>
      </c>
      <c r="J448" s="40">
        <v>13</v>
      </c>
      <c r="K448" s="35">
        <v>19.4</v>
      </c>
      <c r="L448" s="40">
        <v>9</v>
      </c>
      <c r="M448" s="92">
        <v>17.2</v>
      </c>
      <c r="N448" s="92">
        <v>18.8</v>
      </c>
      <c r="O448" s="56">
        <v>18.8</v>
      </c>
      <c r="P448" s="56">
        <v>23.4</v>
      </c>
      <c r="Q448" s="56">
        <v>23.4</v>
      </c>
      <c r="R448" s="56">
        <v>23.4</v>
      </c>
      <c r="S448" s="56">
        <v>23.4</v>
      </c>
      <c r="T448" s="56">
        <v>25</v>
      </c>
      <c r="U448" s="40">
        <v>25</v>
      </c>
      <c r="V448" s="35">
        <v>2024</v>
      </c>
      <c r="W448" s="4">
        <f t="shared" si="123"/>
        <v>0</v>
      </c>
      <c r="X448" s="4">
        <f t="shared" si="124"/>
        <v>0</v>
      </c>
    </row>
    <row r="449" spans="1:24" ht="63.75">
      <c r="A449" s="36" t="s">
        <v>254</v>
      </c>
      <c r="B449" s="37">
        <v>1</v>
      </c>
      <c r="C449" s="37">
        <v>5</v>
      </c>
      <c r="D449" s="37">
        <v>1</v>
      </c>
      <c r="E449" s="37">
        <v>0</v>
      </c>
      <c r="F449" s="37">
        <v>1</v>
      </c>
      <c r="G449" s="38"/>
      <c r="H449" s="43" t="s">
        <v>57</v>
      </c>
      <c r="I449" s="38" t="s">
        <v>279</v>
      </c>
      <c r="J449" s="44" t="s">
        <v>280</v>
      </c>
      <c r="K449" s="44" t="s">
        <v>280</v>
      </c>
      <c r="L449" s="45" t="s">
        <v>280</v>
      </c>
      <c r="M449" s="46" t="s">
        <v>280</v>
      </c>
      <c r="N449" s="46" t="s">
        <v>280</v>
      </c>
      <c r="O449" s="45" t="s">
        <v>280</v>
      </c>
      <c r="P449" s="45" t="s">
        <v>280</v>
      </c>
      <c r="Q449" s="45" t="s">
        <v>280</v>
      </c>
      <c r="R449" s="45" t="s">
        <v>280</v>
      </c>
      <c r="S449" s="45" t="s">
        <v>280</v>
      </c>
      <c r="T449" s="45" t="s">
        <v>280</v>
      </c>
      <c r="U449" s="45" t="s">
        <v>280</v>
      </c>
      <c r="V449" s="38">
        <v>2024</v>
      </c>
      <c r="W449" s="4"/>
      <c r="X449" s="4"/>
    </row>
    <row r="450" spans="1:24" ht="63.75">
      <c r="A450" s="33" t="s">
        <v>254</v>
      </c>
      <c r="B450" s="34">
        <v>1</v>
      </c>
      <c r="C450" s="34">
        <v>5</v>
      </c>
      <c r="D450" s="34">
        <v>1</v>
      </c>
      <c r="E450" s="34">
        <v>0</v>
      </c>
      <c r="F450" s="34">
        <v>1</v>
      </c>
      <c r="G450" s="35"/>
      <c r="H450" s="54" t="s">
        <v>135</v>
      </c>
      <c r="I450" s="35" t="s">
        <v>294</v>
      </c>
      <c r="J450" s="47">
        <v>1</v>
      </c>
      <c r="K450" s="47">
        <v>0</v>
      </c>
      <c r="L450" s="48">
        <v>0</v>
      </c>
      <c r="M450" s="48">
        <v>0</v>
      </c>
      <c r="N450" s="48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8">
        <f aca="true" t="shared" si="148" ref="U450:U458">J450+K450+L450+M450+O450+Q450+R450+S450+T450</f>
        <v>1</v>
      </c>
      <c r="V450" s="90">
        <v>2016</v>
      </c>
      <c r="W450" s="4">
        <f t="shared" si="123"/>
        <v>0</v>
      </c>
      <c r="X450" s="4">
        <f t="shared" si="124"/>
        <v>0</v>
      </c>
    </row>
    <row r="451" spans="1:24" ht="51">
      <c r="A451" s="33" t="s">
        <v>254</v>
      </c>
      <c r="B451" s="34">
        <v>1</v>
      </c>
      <c r="C451" s="34">
        <v>5</v>
      </c>
      <c r="D451" s="34">
        <v>1</v>
      </c>
      <c r="E451" s="34">
        <v>0</v>
      </c>
      <c r="F451" s="34">
        <v>1</v>
      </c>
      <c r="G451" s="35"/>
      <c r="H451" s="54" t="s">
        <v>160</v>
      </c>
      <c r="I451" s="35" t="s">
        <v>294</v>
      </c>
      <c r="J451" s="47">
        <v>20</v>
      </c>
      <c r="K451" s="47">
        <v>20</v>
      </c>
      <c r="L451" s="47">
        <v>20</v>
      </c>
      <c r="M451" s="70">
        <v>20</v>
      </c>
      <c r="N451" s="70">
        <v>20</v>
      </c>
      <c r="O451" s="70">
        <v>20</v>
      </c>
      <c r="P451" s="70">
        <v>20</v>
      </c>
      <c r="Q451" s="70">
        <v>20</v>
      </c>
      <c r="R451" s="70">
        <v>20</v>
      </c>
      <c r="S451" s="70">
        <v>20</v>
      </c>
      <c r="T451" s="70">
        <v>20</v>
      </c>
      <c r="U451" s="48">
        <f t="shared" si="148"/>
        <v>180</v>
      </c>
      <c r="V451" s="35">
        <v>2024</v>
      </c>
      <c r="W451" s="4">
        <f t="shared" si="123"/>
        <v>0</v>
      </c>
      <c r="X451" s="4">
        <f t="shared" si="124"/>
        <v>0</v>
      </c>
    </row>
    <row r="452" spans="1:26" s="7" customFormat="1" ht="51">
      <c r="A452" s="36" t="s">
        <v>254</v>
      </c>
      <c r="B452" s="37">
        <v>1</v>
      </c>
      <c r="C452" s="37">
        <v>5</v>
      </c>
      <c r="D452" s="37">
        <v>1</v>
      </c>
      <c r="E452" s="37">
        <v>0</v>
      </c>
      <c r="F452" s="37">
        <v>2</v>
      </c>
      <c r="G452" s="37"/>
      <c r="H452" s="49" t="s">
        <v>419</v>
      </c>
      <c r="I452" s="37" t="s">
        <v>255</v>
      </c>
      <c r="J452" s="45">
        <f aca="true" t="shared" si="149" ref="J452:T452">J453</f>
        <v>300</v>
      </c>
      <c r="K452" s="45">
        <f t="shared" si="149"/>
        <v>300</v>
      </c>
      <c r="L452" s="45">
        <f t="shared" si="149"/>
        <v>254</v>
      </c>
      <c r="M452" s="50">
        <f t="shared" si="149"/>
        <v>300</v>
      </c>
      <c r="N452" s="50">
        <f t="shared" si="149"/>
        <v>300</v>
      </c>
      <c r="O452" s="45">
        <f t="shared" si="149"/>
        <v>300</v>
      </c>
      <c r="P452" s="45">
        <f t="shared" si="149"/>
        <v>300</v>
      </c>
      <c r="Q452" s="45">
        <f t="shared" si="149"/>
        <v>300</v>
      </c>
      <c r="R452" s="50">
        <f t="shared" si="149"/>
        <v>300</v>
      </c>
      <c r="S452" s="50">
        <f t="shared" si="149"/>
        <v>300</v>
      </c>
      <c r="T452" s="50">
        <f t="shared" si="149"/>
        <v>300</v>
      </c>
      <c r="U452" s="45">
        <f t="shared" si="148"/>
        <v>2654</v>
      </c>
      <c r="V452" s="37">
        <v>2024</v>
      </c>
      <c r="W452" s="4">
        <f t="shared" si="123"/>
        <v>0</v>
      </c>
      <c r="X452" s="4">
        <f t="shared" si="124"/>
        <v>0</v>
      </c>
      <c r="Y452" s="4"/>
      <c r="Z452" s="3"/>
    </row>
    <row r="453" spans="1:26" s="7" customFormat="1" ht="12.75">
      <c r="A453" s="33" t="s">
        <v>254</v>
      </c>
      <c r="B453" s="34">
        <v>1</v>
      </c>
      <c r="C453" s="34">
        <v>5</v>
      </c>
      <c r="D453" s="34">
        <v>1</v>
      </c>
      <c r="E453" s="34">
        <v>0</v>
      </c>
      <c r="F453" s="34">
        <v>2</v>
      </c>
      <c r="G453" s="34">
        <v>3</v>
      </c>
      <c r="H453" s="51" t="s">
        <v>256</v>
      </c>
      <c r="I453" s="34" t="s">
        <v>255</v>
      </c>
      <c r="J453" s="52">
        <v>300</v>
      </c>
      <c r="K453" s="52">
        <v>300</v>
      </c>
      <c r="L453" s="52">
        <v>254</v>
      </c>
      <c r="M453" s="67">
        <v>300</v>
      </c>
      <c r="N453" s="67">
        <v>300</v>
      </c>
      <c r="O453" s="67">
        <v>300</v>
      </c>
      <c r="P453" s="67">
        <v>300</v>
      </c>
      <c r="Q453" s="67">
        <v>300</v>
      </c>
      <c r="R453" s="67">
        <v>300</v>
      </c>
      <c r="S453" s="67">
        <v>300</v>
      </c>
      <c r="T453" s="67">
        <v>300</v>
      </c>
      <c r="U453" s="52">
        <f t="shared" si="148"/>
        <v>2654</v>
      </c>
      <c r="V453" s="34">
        <v>2024</v>
      </c>
      <c r="W453" s="4">
        <f t="shared" si="123"/>
        <v>0</v>
      </c>
      <c r="X453" s="4">
        <f t="shared" si="124"/>
        <v>0</v>
      </c>
      <c r="Y453" s="4"/>
      <c r="Z453" s="3"/>
    </row>
    <row r="454" spans="1:24" ht="51">
      <c r="A454" s="33" t="s">
        <v>254</v>
      </c>
      <c r="B454" s="34">
        <v>1</v>
      </c>
      <c r="C454" s="34">
        <v>5</v>
      </c>
      <c r="D454" s="34">
        <v>1</v>
      </c>
      <c r="E454" s="34">
        <v>0</v>
      </c>
      <c r="F454" s="34">
        <v>2</v>
      </c>
      <c r="G454" s="35"/>
      <c r="H454" s="39" t="s">
        <v>161</v>
      </c>
      <c r="I454" s="35" t="s">
        <v>283</v>
      </c>
      <c r="J454" s="47">
        <v>5</v>
      </c>
      <c r="K454" s="47">
        <v>6</v>
      </c>
      <c r="L454" s="47">
        <v>6</v>
      </c>
      <c r="M454" s="70">
        <v>5</v>
      </c>
      <c r="N454" s="70">
        <v>6</v>
      </c>
      <c r="O454" s="70">
        <v>6</v>
      </c>
      <c r="P454" s="70">
        <v>6</v>
      </c>
      <c r="Q454" s="70">
        <v>6</v>
      </c>
      <c r="R454" s="70">
        <v>6</v>
      </c>
      <c r="S454" s="70">
        <v>6</v>
      </c>
      <c r="T454" s="70">
        <v>6</v>
      </c>
      <c r="U454" s="47">
        <f t="shared" si="148"/>
        <v>52</v>
      </c>
      <c r="V454" s="35">
        <v>2024</v>
      </c>
      <c r="W454" s="4">
        <f t="shared" si="123"/>
        <v>0</v>
      </c>
      <c r="X454" s="4">
        <f t="shared" si="124"/>
        <v>0</v>
      </c>
    </row>
    <row r="455" spans="1:24" ht="63.75">
      <c r="A455" s="33" t="s">
        <v>254</v>
      </c>
      <c r="B455" s="34">
        <v>1</v>
      </c>
      <c r="C455" s="34">
        <v>5</v>
      </c>
      <c r="D455" s="34">
        <v>1</v>
      </c>
      <c r="E455" s="34">
        <v>0</v>
      </c>
      <c r="F455" s="34">
        <v>2</v>
      </c>
      <c r="G455" s="35"/>
      <c r="H455" s="39" t="s">
        <v>182</v>
      </c>
      <c r="I455" s="35" t="s">
        <v>294</v>
      </c>
      <c r="J455" s="47">
        <v>1</v>
      </c>
      <c r="K455" s="47">
        <v>1</v>
      </c>
      <c r="L455" s="47">
        <v>1</v>
      </c>
      <c r="M455" s="70">
        <v>1</v>
      </c>
      <c r="N455" s="70">
        <v>1</v>
      </c>
      <c r="O455" s="70">
        <v>1</v>
      </c>
      <c r="P455" s="70">
        <v>1</v>
      </c>
      <c r="Q455" s="70">
        <v>1</v>
      </c>
      <c r="R455" s="70">
        <v>1</v>
      </c>
      <c r="S455" s="70">
        <v>1</v>
      </c>
      <c r="T455" s="70">
        <v>1</v>
      </c>
      <c r="U455" s="47">
        <f t="shared" si="148"/>
        <v>9</v>
      </c>
      <c r="V455" s="35">
        <v>2024</v>
      </c>
      <c r="W455" s="4">
        <f t="shared" si="123"/>
        <v>0</v>
      </c>
      <c r="X455" s="4">
        <f t="shared" si="124"/>
        <v>0</v>
      </c>
    </row>
    <row r="456" spans="1:24" ht="38.25">
      <c r="A456" s="33" t="s">
        <v>254</v>
      </c>
      <c r="B456" s="34">
        <v>1</v>
      </c>
      <c r="C456" s="34">
        <v>5</v>
      </c>
      <c r="D456" s="34">
        <v>1</v>
      </c>
      <c r="E456" s="34">
        <v>0</v>
      </c>
      <c r="F456" s="34">
        <v>2</v>
      </c>
      <c r="G456" s="35"/>
      <c r="H456" s="39" t="s">
        <v>183</v>
      </c>
      <c r="I456" s="35" t="s">
        <v>294</v>
      </c>
      <c r="J456" s="47">
        <v>2</v>
      </c>
      <c r="K456" s="47">
        <v>2</v>
      </c>
      <c r="L456" s="47">
        <v>2</v>
      </c>
      <c r="M456" s="70">
        <v>2</v>
      </c>
      <c r="N456" s="70">
        <v>2</v>
      </c>
      <c r="O456" s="70">
        <v>2</v>
      </c>
      <c r="P456" s="70">
        <v>2</v>
      </c>
      <c r="Q456" s="70">
        <v>2</v>
      </c>
      <c r="R456" s="70">
        <v>2</v>
      </c>
      <c r="S456" s="70">
        <v>2</v>
      </c>
      <c r="T456" s="70">
        <v>2</v>
      </c>
      <c r="U456" s="47">
        <f t="shared" si="148"/>
        <v>18</v>
      </c>
      <c r="V456" s="35">
        <v>2024</v>
      </c>
      <c r="W456" s="4">
        <f t="shared" si="123"/>
        <v>0</v>
      </c>
      <c r="X456" s="4">
        <f t="shared" si="124"/>
        <v>0</v>
      </c>
    </row>
    <row r="457" spans="1:26" s="7" customFormat="1" ht="25.5">
      <c r="A457" s="31" t="s">
        <v>254</v>
      </c>
      <c r="B457" s="32">
        <v>1</v>
      </c>
      <c r="C457" s="32">
        <v>5</v>
      </c>
      <c r="D457" s="32">
        <v>2</v>
      </c>
      <c r="E457" s="32">
        <v>0</v>
      </c>
      <c r="F457" s="32">
        <v>0</v>
      </c>
      <c r="G457" s="32"/>
      <c r="H457" s="30" t="s">
        <v>184</v>
      </c>
      <c r="I457" s="32" t="s">
        <v>255</v>
      </c>
      <c r="J457" s="68">
        <f aca="true" t="shared" si="150" ref="J457:T457">J458</f>
        <v>10</v>
      </c>
      <c r="K457" s="68">
        <f t="shared" si="150"/>
        <v>10</v>
      </c>
      <c r="L457" s="68">
        <f t="shared" si="150"/>
        <v>10</v>
      </c>
      <c r="M457" s="68">
        <f t="shared" si="150"/>
        <v>10</v>
      </c>
      <c r="N457" s="68">
        <f t="shared" si="150"/>
        <v>10</v>
      </c>
      <c r="O457" s="68">
        <f t="shared" si="150"/>
        <v>10</v>
      </c>
      <c r="P457" s="68">
        <f t="shared" si="150"/>
        <v>10</v>
      </c>
      <c r="Q457" s="68">
        <f t="shared" si="150"/>
        <v>10</v>
      </c>
      <c r="R457" s="68">
        <f t="shared" si="150"/>
        <v>10</v>
      </c>
      <c r="S457" s="68">
        <f t="shared" si="150"/>
        <v>10</v>
      </c>
      <c r="T457" s="68">
        <f t="shared" si="150"/>
        <v>10</v>
      </c>
      <c r="U457" s="68">
        <f t="shared" si="148"/>
        <v>90</v>
      </c>
      <c r="V457" s="32">
        <v>2024</v>
      </c>
      <c r="W457" s="4">
        <f aca="true" t="shared" si="151" ref="W457:W520">O457-N457</f>
        <v>0</v>
      </c>
      <c r="X457" s="4">
        <f aca="true" t="shared" si="152" ref="X457:X520">Q457-P457</f>
        <v>0</v>
      </c>
      <c r="Y457" s="4"/>
      <c r="Z457" s="3"/>
    </row>
    <row r="458" spans="1:26" s="7" customFormat="1" ht="12.75">
      <c r="A458" s="33" t="s">
        <v>254</v>
      </c>
      <c r="B458" s="34">
        <v>1</v>
      </c>
      <c r="C458" s="34">
        <v>5</v>
      </c>
      <c r="D458" s="34">
        <v>2</v>
      </c>
      <c r="E458" s="34">
        <v>0</v>
      </c>
      <c r="F458" s="34">
        <v>0</v>
      </c>
      <c r="G458" s="34">
        <v>3</v>
      </c>
      <c r="H458" s="51" t="s">
        <v>256</v>
      </c>
      <c r="I458" s="34" t="s">
        <v>255</v>
      </c>
      <c r="J458" s="52">
        <f aca="true" t="shared" si="153" ref="J458:P458">J465</f>
        <v>10</v>
      </c>
      <c r="K458" s="52">
        <f t="shared" si="153"/>
        <v>10</v>
      </c>
      <c r="L458" s="52">
        <f t="shared" si="153"/>
        <v>10</v>
      </c>
      <c r="M458" s="67">
        <f t="shared" si="153"/>
        <v>10</v>
      </c>
      <c r="N458" s="67">
        <f t="shared" si="153"/>
        <v>10</v>
      </c>
      <c r="O458" s="67">
        <f t="shared" si="153"/>
        <v>10</v>
      </c>
      <c r="P458" s="67">
        <f t="shared" si="153"/>
        <v>10</v>
      </c>
      <c r="Q458" s="67">
        <v>10</v>
      </c>
      <c r="R458" s="67">
        <f>R465</f>
        <v>10</v>
      </c>
      <c r="S458" s="67">
        <f>S465</f>
        <v>10</v>
      </c>
      <c r="T458" s="67">
        <f>T465</f>
        <v>10</v>
      </c>
      <c r="U458" s="52">
        <f t="shared" si="148"/>
        <v>90</v>
      </c>
      <c r="V458" s="136">
        <v>2024</v>
      </c>
      <c r="W458" s="4">
        <f t="shared" si="151"/>
        <v>0</v>
      </c>
      <c r="X458" s="4">
        <f t="shared" si="152"/>
        <v>0</v>
      </c>
      <c r="Y458" s="4"/>
      <c r="Z458" s="3"/>
    </row>
    <row r="459" spans="1:24" ht="51">
      <c r="A459" s="33" t="s">
        <v>254</v>
      </c>
      <c r="B459" s="34">
        <v>1</v>
      </c>
      <c r="C459" s="34">
        <v>5</v>
      </c>
      <c r="D459" s="34">
        <v>2</v>
      </c>
      <c r="E459" s="34">
        <v>0</v>
      </c>
      <c r="F459" s="34">
        <v>0</v>
      </c>
      <c r="G459" s="35"/>
      <c r="H459" s="39" t="s">
        <v>185</v>
      </c>
      <c r="I459" s="35" t="s">
        <v>260</v>
      </c>
      <c r="J459" s="35">
        <v>65.2</v>
      </c>
      <c r="K459" s="35">
        <v>76.1</v>
      </c>
      <c r="L459" s="35">
        <v>100</v>
      </c>
      <c r="M459" s="110">
        <v>100</v>
      </c>
      <c r="N459" s="110">
        <v>98.3</v>
      </c>
      <c r="O459" s="56">
        <v>100</v>
      </c>
      <c r="P459" s="56">
        <v>100</v>
      </c>
      <c r="Q459" s="80">
        <v>100</v>
      </c>
      <c r="R459" s="80">
        <v>100</v>
      </c>
      <c r="S459" s="80">
        <v>100</v>
      </c>
      <c r="T459" s="80">
        <v>100</v>
      </c>
      <c r="U459" s="40">
        <v>100</v>
      </c>
      <c r="V459" s="35">
        <v>2024</v>
      </c>
      <c r="W459" s="4">
        <f t="shared" si="151"/>
        <v>1.7</v>
      </c>
      <c r="X459" s="4">
        <f t="shared" si="152"/>
        <v>0</v>
      </c>
    </row>
    <row r="460" spans="1:24" ht="38.25">
      <c r="A460" s="33" t="s">
        <v>254</v>
      </c>
      <c r="B460" s="34">
        <v>1</v>
      </c>
      <c r="C460" s="34">
        <v>5</v>
      </c>
      <c r="D460" s="34">
        <v>2</v>
      </c>
      <c r="E460" s="34">
        <v>0</v>
      </c>
      <c r="F460" s="34">
        <v>0</v>
      </c>
      <c r="G460" s="35"/>
      <c r="H460" s="39" t="s">
        <v>102</v>
      </c>
      <c r="I460" s="35" t="s">
        <v>294</v>
      </c>
      <c r="J460" s="47">
        <v>189</v>
      </c>
      <c r="K460" s="47">
        <v>733</v>
      </c>
      <c r="L460" s="47">
        <v>1449</v>
      </c>
      <c r="M460" s="58">
        <v>1817</v>
      </c>
      <c r="N460" s="58">
        <v>1500</v>
      </c>
      <c r="O460" s="58">
        <v>1820</v>
      </c>
      <c r="P460" s="58">
        <v>1600</v>
      </c>
      <c r="Q460" s="58">
        <v>1850</v>
      </c>
      <c r="R460" s="58">
        <v>1850</v>
      </c>
      <c r="S460" s="58">
        <v>1850</v>
      </c>
      <c r="T460" s="58">
        <v>1850</v>
      </c>
      <c r="U460" s="47">
        <f>J460+K460+L460+M460+O460+Q460+R460+S460+T460</f>
        <v>13408</v>
      </c>
      <c r="V460" s="35">
        <v>2024</v>
      </c>
      <c r="W460" s="4">
        <f t="shared" si="151"/>
        <v>320</v>
      </c>
      <c r="X460" s="4">
        <f t="shared" si="152"/>
        <v>250</v>
      </c>
    </row>
    <row r="461" spans="1:24" ht="51">
      <c r="A461" s="36" t="s">
        <v>254</v>
      </c>
      <c r="B461" s="37">
        <v>1</v>
      </c>
      <c r="C461" s="37">
        <v>5</v>
      </c>
      <c r="D461" s="37">
        <v>2</v>
      </c>
      <c r="E461" s="37">
        <v>0</v>
      </c>
      <c r="F461" s="37">
        <v>1</v>
      </c>
      <c r="G461" s="38"/>
      <c r="H461" s="43" t="s">
        <v>58</v>
      </c>
      <c r="I461" s="38" t="s">
        <v>279</v>
      </c>
      <c r="J461" s="44" t="s">
        <v>280</v>
      </c>
      <c r="K461" s="44" t="s">
        <v>280</v>
      </c>
      <c r="L461" s="44" t="s">
        <v>280</v>
      </c>
      <c r="M461" s="46" t="s">
        <v>280</v>
      </c>
      <c r="N461" s="46" t="s">
        <v>280</v>
      </c>
      <c r="O461" s="44" t="s">
        <v>280</v>
      </c>
      <c r="P461" s="44" t="s">
        <v>280</v>
      </c>
      <c r="Q461" s="44" t="s">
        <v>280</v>
      </c>
      <c r="R461" s="44" t="s">
        <v>280</v>
      </c>
      <c r="S461" s="44" t="s">
        <v>280</v>
      </c>
      <c r="T461" s="44" t="s">
        <v>280</v>
      </c>
      <c r="U461" s="44" t="s">
        <v>280</v>
      </c>
      <c r="V461" s="38">
        <v>2024</v>
      </c>
      <c r="W461" s="4"/>
      <c r="X461" s="4"/>
    </row>
    <row r="462" spans="1:24" ht="38.25">
      <c r="A462" s="33" t="s">
        <v>254</v>
      </c>
      <c r="B462" s="34">
        <v>1</v>
      </c>
      <c r="C462" s="34">
        <v>5</v>
      </c>
      <c r="D462" s="34">
        <v>2</v>
      </c>
      <c r="E462" s="34">
        <v>0</v>
      </c>
      <c r="F462" s="34">
        <v>1</v>
      </c>
      <c r="G462" s="35"/>
      <c r="H462" s="39" t="s">
        <v>186</v>
      </c>
      <c r="I462" s="35" t="s">
        <v>294</v>
      </c>
      <c r="J462" s="47">
        <v>7000</v>
      </c>
      <c r="K462" s="47">
        <v>7500</v>
      </c>
      <c r="L462" s="47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47">
        <f aca="true" t="shared" si="154" ref="U462:U471">J462+K462+L462+M462+O462+Q462+R462+S462+T462</f>
        <v>14500</v>
      </c>
      <c r="V462" s="35">
        <v>2017</v>
      </c>
      <c r="W462" s="4">
        <f t="shared" si="151"/>
        <v>0</v>
      </c>
      <c r="X462" s="4">
        <f t="shared" si="152"/>
        <v>0</v>
      </c>
    </row>
    <row r="463" spans="1:24" ht="51">
      <c r="A463" s="33" t="s">
        <v>254</v>
      </c>
      <c r="B463" s="34">
        <v>1</v>
      </c>
      <c r="C463" s="34">
        <v>5</v>
      </c>
      <c r="D463" s="34">
        <v>2</v>
      </c>
      <c r="E463" s="34">
        <v>0</v>
      </c>
      <c r="F463" s="34">
        <v>1</v>
      </c>
      <c r="G463" s="35"/>
      <c r="H463" s="39" t="s">
        <v>179</v>
      </c>
      <c r="I463" s="35" t="s">
        <v>294</v>
      </c>
      <c r="J463" s="47">
        <v>0</v>
      </c>
      <c r="K463" s="47">
        <v>0</v>
      </c>
      <c r="L463" s="47">
        <v>8</v>
      </c>
      <c r="M463" s="70">
        <v>6</v>
      </c>
      <c r="N463" s="70">
        <v>8</v>
      </c>
      <c r="O463" s="70">
        <v>8</v>
      </c>
      <c r="P463" s="70">
        <v>8</v>
      </c>
      <c r="Q463" s="70">
        <v>8</v>
      </c>
      <c r="R463" s="70">
        <v>8</v>
      </c>
      <c r="S463" s="70">
        <v>8</v>
      </c>
      <c r="T463" s="70">
        <v>8</v>
      </c>
      <c r="U463" s="47">
        <f t="shared" si="154"/>
        <v>54</v>
      </c>
      <c r="V463" s="35">
        <v>2024</v>
      </c>
      <c r="W463" s="4">
        <f t="shared" si="151"/>
        <v>0</v>
      </c>
      <c r="X463" s="4">
        <f t="shared" si="152"/>
        <v>0</v>
      </c>
    </row>
    <row r="464" spans="1:26" s="7" customFormat="1" ht="38.25">
      <c r="A464" s="36" t="s">
        <v>254</v>
      </c>
      <c r="B464" s="37">
        <v>1</v>
      </c>
      <c r="C464" s="37">
        <v>5</v>
      </c>
      <c r="D464" s="37">
        <v>2</v>
      </c>
      <c r="E464" s="37">
        <v>0</v>
      </c>
      <c r="F464" s="37">
        <v>2</v>
      </c>
      <c r="G464" s="37">
        <v>3</v>
      </c>
      <c r="H464" s="49" t="s">
        <v>420</v>
      </c>
      <c r="I464" s="37" t="s">
        <v>255</v>
      </c>
      <c r="J464" s="45">
        <f aca="true" t="shared" si="155" ref="J464:T464">J465</f>
        <v>10</v>
      </c>
      <c r="K464" s="45">
        <f t="shared" si="155"/>
        <v>10</v>
      </c>
      <c r="L464" s="45">
        <f t="shared" si="155"/>
        <v>10</v>
      </c>
      <c r="M464" s="50">
        <f t="shared" si="155"/>
        <v>10</v>
      </c>
      <c r="N464" s="50">
        <f t="shared" si="155"/>
        <v>10</v>
      </c>
      <c r="O464" s="45">
        <f t="shared" si="155"/>
        <v>10</v>
      </c>
      <c r="P464" s="45">
        <f t="shared" si="155"/>
        <v>10</v>
      </c>
      <c r="Q464" s="45">
        <f t="shared" si="155"/>
        <v>10</v>
      </c>
      <c r="R464" s="50">
        <f t="shared" si="155"/>
        <v>10</v>
      </c>
      <c r="S464" s="50">
        <f t="shared" si="155"/>
        <v>10</v>
      </c>
      <c r="T464" s="50">
        <f t="shared" si="155"/>
        <v>10</v>
      </c>
      <c r="U464" s="45">
        <f t="shared" si="154"/>
        <v>90</v>
      </c>
      <c r="V464" s="37">
        <v>2024</v>
      </c>
      <c r="W464" s="4">
        <f t="shared" si="151"/>
        <v>0</v>
      </c>
      <c r="X464" s="4">
        <f t="shared" si="152"/>
        <v>0</v>
      </c>
      <c r="Y464" s="4"/>
      <c r="Z464" s="3"/>
    </row>
    <row r="465" spans="1:26" s="7" customFormat="1" ht="12.75">
      <c r="A465" s="33" t="s">
        <v>254</v>
      </c>
      <c r="B465" s="34">
        <v>1</v>
      </c>
      <c r="C465" s="34">
        <v>5</v>
      </c>
      <c r="D465" s="34">
        <v>2</v>
      </c>
      <c r="E465" s="34">
        <v>0</v>
      </c>
      <c r="F465" s="34">
        <v>2</v>
      </c>
      <c r="G465" s="34">
        <v>3</v>
      </c>
      <c r="H465" s="51" t="s">
        <v>256</v>
      </c>
      <c r="I465" s="34" t="s">
        <v>255</v>
      </c>
      <c r="J465" s="52">
        <v>10</v>
      </c>
      <c r="K465" s="52">
        <v>10</v>
      </c>
      <c r="L465" s="52">
        <v>10</v>
      </c>
      <c r="M465" s="67">
        <v>10</v>
      </c>
      <c r="N465" s="67">
        <v>10</v>
      </c>
      <c r="O465" s="67">
        <v>10</v>
      </c>
      <c r="P465" s="67">
        <v>10</v>
      </c>
      <c r="Q465" s="67">
        <v>10</v>
      </c>
      <c r="R465" s="67">
        <v>10</v>
      </c>
      <c r="S465" s="67">
        <v>10</v>
      </c>
      <c r="T465" s="67">
        <v>10</v>
      </c>
      <c r="U465" s="52">
        <f t="shared" si="154"/>
        <v>90</v>
      </c>
      <c r="V465" s="34">
        <v>2024</v>
      </c>
      <c r="W465" s="4">
        <f t="shared" si="151"/>
        <v>0</v>
      </c>
      <c r="X465" s="4">
        <f t="shared" si="152"/>
        <v>0</v>
      </c>
      <c r="Y465" s="4"/>
      <c r="Z465" s="3"/>
    </row>
    <row r="466" spans="1:24" ht="38.25">
      <c r="A466" s="33" t="s">
        <v>254</v>
      </c>
      <c r="B466" s="34">
        <v>1</v>
      </c>
      <c r="C466" s="34">
        <v>5</v>
      </c>
      <c r="D466" s="34">
        <v>2</v>
      </c>
      <c r="E466" s="34">
        <v>0</v>
      </c>
      <c r="F466" s="34">
        <v>2</v>
      </c>
      <c r="G466" s="35"/>
      <c r="H466" s="39" t="s">
        <v>94</v>
      </c>
      <c r="I466" s="35" t="s">
        <v>294</v>
      </c>
      <c r="J466" s="47">
        <v>1</v>
      </c>
      <c r="K466" s="47">
        <v>1</v>
      </c>
      <c r="L466" s="47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47">
        <f t="shared" si="154"/>
        <v>2</v>
      </c>
      <c r="V466" s="35">
        <v>2017</v>
      </c>
      <c r="W466" s="4">
        <f t="shared" si="151"/>
        <v>0</v>
      </c>
      <c r="X466" s="4">
        <f t="shared" si="152"/>
        <v>0</v>
      </c>
    </row>
    <row r="467" spans="1:24" ht="76.5">
      <c r="A467" s="33" t="s">
        <v>254</v>
      </c>
      <c r="B467" s="34">
        <v>1</v>
      </c>
      <c r="C467" s="34">
        <v>5</v>
      </c>
      <c r="D467" s="34">
        <v>2</v>
      </c>
      <c r="E467" s="34">
        <v>0</v>
      </c>
      <c r="F467" s="34">
        <v>2</v>
      </c>
      <c r="G467" s="35"/>
      <c r="H467" s="39" t="s">
        <v>95</v>
      </c>
      <c r="I467" s="35" t="s">
        <v>294</v>
      </c>
      <c r="J467" s="47">
        <v>1</v>
      </c>
      <c r="K467" s="47">
        <v>1</v>
      </c>
      <c r="L467" s="47">
        <v>1</v>
      </c>
      <c r="M467" s="70">
        <v>1</v>
      </c>
      <c r="N467" s="70">
        <v>1</v>
      </c>
      <c r="O467" s="70">
        <v>1</v>
      </c>
      <c r="P467" s="70">
        <v>1</v>
      </c>
      <c r="Q467" s="70">
        <v>1</v>
      </c>
      <c r="R467" s="70">
        <v>1</v>
      </c>
      <c r="S467" s="70">
        <v>1</v>
      </c>
      <c r="T467" s="70">
        <v>1</v>
      </c>
      <c r="U467" s="47">
        <f t="shared" si="154"/>
        <v>9</v>
      </c>
      <c r="V467" s="35">
        <v>2024</v>
      </c>
      <c r="W467" s="4">
        <f t="shared" si="151"/>
        <v>0</v>
      </c>
      <c r="X467" s="4">
        <f t="shared" si="152"/>
        <v>0</v>
      </c>
    </row>
    <row r="468" spans="1:24" ht="38.25">
      <c r="A468" s="33" t="s">
        <v>254</v>
      </c>
      <c r="B468" s="34">
        <v>1</v>
      </c>
      <c r="C468" s="34">
        <v>5</v>
      </c>
      <c r="D468" s="34">
        <v>2</v>
      </c>
      <c r="E468" s="34">
        <v>0</v>
      </c>
      <c r="F468" s="34">
        <v>2</v>
      </c>
      <c r="G468" s="35"/>
      <c r="H468" s="39" t="s">
        <v>178</v>
      </c>
      <c r="I468" s="35" t="s">
        <v>294</v>
      </c>
      <c r="J468" s="47">
        <v>0</v>
      </c>
      <c r="K468" s="47">
        <v>0</v>
      </c>
      <c r="L468" s="47">
        <v>7630</v>
      </c>
      <c r="M468" s="58">
        <v>14680</v>
      </c>
      <c r="N468" s="58">
        <v>7700</v>
      </c>
      <c r="O468" s="58">
        <v>14700</v>
      </c>
      <c r="P468" s="58">
        <v>7750</v>
      </c>
      <c r="Q468" s="58">
        <v>14720</v>
      </c>
      <c r="R468" s="58">
        <v>14720</v>
      </c>
      <c r="S468" s="58">
        <v>14720</v>
      </c>
      <c r="T468" s="58">
        <v>14720</v>
      </c>
      <c r="U468" s="47">
        <f t="shared" si="154"/>
        <v>95890</v>
      </c>
      <c r="V468" s="35">
        <v>2024</v>
      </c>
      <c r="W468" s="4">
        <f t="shared" si="151"/>
        <v>7000</v>
      </c>
      <c r="X468" s="4">
        <f t="shared" si="152"/>
        <v>6970</v>
      </c>
    </row>
    <row r="469" spans="1:26" s="7" customFormat="1" ht="38.25">
      <c r="A469" s="31" t="s">
        <v>254</v>
      </c>
      <c r="B469" s="32">
        <v>1</v>
      </c>
      <c r="C469" s="32">
        <v>5</v>
      </c>
      <c r="D469" s="32">
        <v>3</v>
      </c>
      <c r="E469" s="32">
        <v>0</v>
      </c>
      <c r="F469" s="32">
        <v>0</v>
      </c>
      <c r="G469" s="32"/>
      <c r="H469" s="30" t="s">
        <v>187</v>
      </c>
      <c r="I469" s="32" t="s">
        <v>255</v>
      </c>
      <c r="J469" s="68">
        <f aca="true" t="shared" si="156" ref="J469:T469">J470+J471</f>
        <v>59735.7</v>
      </c>
      <c r="K469" s="68">
        <f t="shared" si="156"/>
        <v>90116.3</v>
      </c>
      <c r="L469" s="68">
        <f t="shared" si="156"/>
        <v>41321.8</v>
      </c>
      <c r="M469" s="68">
        <f t="shared" si="156"/>
        <v>43597.4</v>
      </c>
      <c r="N469" s="68">
        <f>N470+N471</f>
        <v>11163.3</v>
      </c>
      <c r="O469" s="68">
        <f t="shared" si="156"/>
        <v>11163.3</v>
      </c>
      <c r="P469" s="68">
        <f>P470+P471</f>
        <v>11163.3</v>
      </c>
      <c r="Q469" s="68">
        <f t="shared" si="156"/>
        <v>11163.3</v>
      </c>
      <c r="R469" s="68">
        <f t="shared" si="156"/>
        <v>11163.3</v>
      </c>
      <c r="S469" s="68">
        <f t="shared" si="156"/>
        <v>11163.3</v>
      </c>
      <c r="T469" s="68">
        <f t="shared" si="156"/>
        <v>11163.3</v>
      </c>
      <c r="U469" s="68">
        <f t="shared" si="154"/>
        <v>290587.7</v>
      </c>
      <c r="V469" s="32">
        <v>2024</v>
      </c>
      <c r="W469" s="4">
        <f t="shared" si="151"/>
        <v>0</v>
      </c>
      <c r="X469" s="4">
        <f t="shared" si="152"/>
        <v>0</v>
      </c>
      <c r="Y469" s="4"/>
      <c r="Z469" s="3"/>
    </row>
    <row r="470" spans="1:26" s="7" customFormat="1" ht="12.75">
      <c r="A470" s="33" t="s">
        <v>254</v>
      </c>
      <c r="B470" s="34">
        <v>1</v>
      </c>
      <c r="C470" s="34">
        <v>5</v>
      </c>
      <c r="D470" s="34">
        <v>3</v>
      </c>
      <c r="E470" s="34">
        <v>0</v>
      </c>
      <c r="F470" s="34">
        <v>0</v>
      </c>
      <c r="G470" s="34">
        <v>3</v>
      </c>
      <c r="H470" s="51" t="s">
        <v>256</v>
      </c>
      <c r="I470" s="34" t="s">
        <v>255</v>
      </c>
      <c r="J470" s="52">
        <f aca="true" t="shared" si="157" ref="J470:T470">J484+J491+J496</f>
        <v>58792.5</v>
      </c>
      <c r="K470" s="52">
        <f t="shared" si="157"/>
        <v>89157.3</v>
      </c>
      <c r="L470" s="52">
        <f t="shared" si="157"/>
        <v>40155.2</v>
      </c>
      <c r="M470" s="67">
        <f>M484+M491+M496</f>
        <v>42482.1</v>
      </c>
      <c r="N470" s="67">
        <f>N484+N491+N496</f>
        <v>10240</v>
      </c>
      <c r="O470" s="67">
        <f t="shared" si="157"/>
        <v>10240</v>
      </c>
      <c r="P470" s="67">
        <f>P484+P491+P496</f>
        <v>10240</v>
      </c>
      <c r="Q470" s="67">
        <f t="shared" si="157"/>
        <v>10240</v>
      </c>
      <c r="R470" s="67">
        <f t="shared" si="157"/>
        <v>10240</v>
      </c>
      <c r="S470" s="67">
        <f t="shared" si="157"/>
        <v>10240</v>
      </c>
      <c r="T470" s="67">
        <f t="shared" si="157"/>
        <v>10240</v>
      </c>
      <c r="U470" s="52">
        <f t="shared" si="154"/>
        <v>281787.1</v>
      </c>
      <c r="V470" s="34">
        <v>2024</v>
      </c>
      <c r="W470" s="4">
        <f t="shared" si="151"/>
        <v>0</v>
      </c>
      <c r="X470" s="4">
        <f t="shared" si="152"/>
        <v>0</v>
      </c>
      <c r="Y470" s="4"/>
      <c r="Z470" s="3"/>
    </row>
    <row r="471" spans="1:26" s="7" customFormat="1" ht="12.75">
      <c r="A471" s="33" t="s">
        <v>254</v>
      </c>
      <c r="B471" s="34">
        <v>1</v>
      </c>
      <c r="C471" s="34">
        <v>5</v>
      </c>
      <c r="D471" s="34">
        <v>3</v>
      </c>
      <c r="E471" s="34">
        <v>0</v>
      </c>
      <c r="F471" s="34">
        <v>0</v>
      </c>
      <c r="G471" s="34">
        <v>2</v>
      </c>
      <c r="H471" s="51" t="s">
        <v>257</v>
      </c>
      <c r="I471" s="34" t="s">
        <v>255</v>
      </c>
      <c r="J471" s="52">
        <f aca="true" t="shared" si="158" ref="J471:T471">J479</f>
        <v>943.2</v>
      </c>
      <c r="K471" s="52">
        <f t="shared" si="158"/>
        <v>959</v>
      </c>
      <c r="L471" s="52">
        <f t="shared" si="158"/>
        <v>1166.6</v>
      </c>
      <c r="M471" s="67">
        <f t="shared" si="158"/>
        <v>1115.3</v>
      </c>
      <c r="N471" s="67">
        <f>N479</f>
        <v>923.3</v>
      </c>
      <c r="O471" s="67">
        <f t="shared" si="158"/>
        <v>923.3</v>
      </c>
      <c r="P471" s="67">
        <f>P479</f>
        <v>923.3</v>
      </c>
      <c r="Q471" s="67">
        <f t="shared" si="158"/>
        <v>923.3</v>
      </c>
      <c r="R471" s="67">
        <f t="shared" si="158"/>
        <v>923.3</v>
      </c>
      <c r="S471" s="67">
        <f t="shared" si="158"/>
        <v>923.3</v>
      </c>
      <c r="T471" s="67">
        <f t="shared" si="158"/>
        <v>923.3</v>
      </c>
      <c r="U471" s="52">
        <f t="shared" si="154"/>
        <v>8800.6</v>
      </c>
      <c r="V471" s="34">
        <v>2024</v>
      </c>
      <c r="W471" s="4">
        <f t="shared" si="151"/>
        <v>0</v>
      </c>
      <c r="X471" s="4">
        <f t="shared" si="152"/>
        <v>0</v>
      </c>
      <c r="Y471" s="4"/>
      <c r="Z471" s="3"/>
    </row>
    <row r="472" spans="1:24" ht="76.5">
      <c r="A472" s="33" t="s">
        <v>254</v>
      </c>
      <c r="B472" s="34">
        <v>1</v>
      </c>
      <c r="C472" s="34">
        <v>5</v>
      </c>
      <c r="D472" s="34">
        <v>3</v>
      </c>
      <c r="E472" s="34">
        <v>0</v>
      </c>
      <c r="F472" s="34">
        <v>0</v>
      </c>
      <c r="G472" s="35"/>
      <c r="H472" s="39" t="s">
        <v>188</v>
      </c>
      <c r="I472" s="35" t="s">
        <v>122</v>
      </c>
      <c r="J472" s="40">
        <v>100</v>
      </c>
      <c r="K472" s="40">
        <v>100</v>
      </c>
      <c r="L472" s="40">
        <v>100</v>
      </c>
      <c r="M472" s="56">
        <v>100</v>
      </c>
      <c r="N472" s="56">
        <v>100</v>
      </c>
      <c r="O472" s="56">
        <v>100</v>
      </c>
      <c r="P472" s="56">
        <v>100</v>
      </c>
      <c r="Q472" s="56">
        <v>100</v>
      </c>
      <c r="R472" s="56">
        <v>100</v>
      </c>
      <c r="S472" s="56">
        <v>100</v>
      </c>
      <c r="T472" s="56">
        <v>100</v>
      </c>
      <c r="U472" s="56">
        <v>100</v>
      </c>
      <c r="V472" s="35">
        <v>2024</v>
      </c>
      <c r="W472" s="4">
        <f t="shared" si="151"/>
        <v>0</v>
      </c>
      <c r="X472" s="4">
        <f t="shared" si="152"/>
        <v>0</v>
      </c>
    </row>
    <row r="473" spans="1:24" ht="89.25">
      <c r="A473" s="33" t="s">
        <v>254</v>
      </c>
      <c r="B473" s="34">
        <v>1</v>
      </c>
      <c r="C473" s="34">
        <v>5</v>
      </c>
      <c r="D473" s="34">
        <v>3</v>
      </c>
      <c r="E473" s="34">
        <v>0</v>
      </c>
      <c r="F473" s="34">
        <v>0</v>
      </c>
      <c r="G473" s="35"/>
      <c r="H473" s="39" t="s">
        <v>189</v>
      </c>
      <c r="I473" s="35" t="s">
        <v>122</v>
      </c>
      <c r="J473" s="40">
        <v>100</v>
      </c>
      <c r="K473" s="40">
        <v>100</v>
      </c>
      <c r="L473" s="40">
        <v>100</v>
      </c>
      <c r="M473" s="56">
        <v>100</v>
      </c>
      <c r="N473" s="56">
        <v>100</v>
      </c>
      <c r="O473" s="56">
        <v>100</v>
      </c>
      <c r="P473" s="56">
        <v>100</v>
      </c>
      <c r="Q473" s="56">
        <v>100</v>
      </c>
      <c r="R473" s="56">
        <v>100</v>
      </c>
      <c r="S473" s="56">
        <v>100</v>
      </c>
      <c r="T473" s="56">
        <v>100</v>
      </c>
      <c r="U473" s="56">
        <v>100</v>
      </c>
      <c r="V473" s="35">
        <v>2024</v>
      </c>
      <c r="W473" s="4">
        <f t="shared" si="151"/>
        <v>0</v>
      </c>
      <c r="X473" s="4">
        <f t="shared" si="152"/>
        <v>0</v>
      </c>
    </row>
    <row r="474" spans="1:24" ht="89.25">
      <c r="A474" s="33" t="s">
        <v>254</v>
      </c>
      <c r="B474" s="34">
        <v>1</v>
      </c>
      <c r="C474" s="34">
        <v>5</v>
      </c>
      <c r="D474" s="34">
        <v>3</v>
      </c>
      <c r="E474" s="34">
        <v>0</v>
      </c>
      <c r="F474" s="34">
        <v>0</v>
      </c>
      <c r="G474" s="35"/>
      <c r="H474" s="39" t="s">
        <v>190</v>
      </c>
      <c r="I474" s="35" t="s">
        <v>122</v>
      </c>
      <c r="J474" s="40">
        <v>90</v>
      </c>
      <c r="K474" s="40">
        <v>100</v>
      </c>
      <c r="L474" s="40">
        <v>95.9</v>
      </c>
      <c r="M474" s="56">
        <v>96</v>
      </c>
      <c r="N474" s="56">
        <v>96.4</v>
      </c>
      <c r="O474" s="56">
        <v>100</v>
      </c>
      <c r="P474" s="56">
        <v>100</v>
      </c>
      <c r="Q474" s="56">
        <v>100</v>
      </c>
      <c r="R474" s="56">
        <v>100</v>
      </c>
      <c r="S474" s="56">
        <v>100</v>
      </c>
      <c r="T474" s="56">
        <v>100</v>
      </c>
      <c r="U474" s="56">
        <v>100</v>
      </c>
      <c r="V474" s="35">
        <v>2024</v>
      </c>
      <c r="W474" s="4">
        <f t="shared" si="151"/>
        <v>3.6</v>
      </c>
      <c r="X474" s="4">
        <f t="shared" si="152"/>
        <v>0</v>
      </c>
    </row>
    <row r="475" spans="1:24" ht="76.5">
      <c r="A475" s="33" t="s">
        <v>254</v>
      </c>
      <c r="B475" s="34">
        <v>1</v>
      </c>
      <c r="C475" s="34">
        <v>5</v>
      </c>
      <c r="D475" s="34">
        <v>3</v>
      </c>
      <c r="E475" s="34">
        <v>0</v>
      </c>
      <c r="F475" s="34">
        <v>0</v>
      </c>
      <c r="G475" s="35"/>
      <c r="H475" s="39" t="s">
        <v>191</v>
      </c>
      <c r="I475" s="35" t="s">
        <v>122</v>
      </c>
      <c r="J475" s="40">
        <v>100</v>
      </c>
      <c r="K475" s="40">
        <v>100</v>
      </c>
      <c r="L475" s="40">
        <v>100</v>
      </c>
      <c r="M475" s="56">
        <v>100</v>
      </c>
      <c r="N475" s="56">
        <v>100</v>
      </c>
      <c r="O475" s="56">
        <v>100</v>
      </c>
      <c r="P475" s="56">
        <v>100</v>
      </c>
      <c r="Q475" s="56">
        <v>100</v>
      </c>
      <c r="R475" s="56">
        <v>100</v>
      </c>
      <c r="S475" s="56">
        <v>100</v>
      </c>
      <c r="T475" s="56">
        <v>100</v>
      </c>
      <c r="U475" s="56">
        <v>100</v>
      </c>
      <c r="V475" s="35">
        <v>2024</v>
      </c>
      <c r="W475" s="4">
        <f t="shared" si="151"/>
        <v>0</v>
      </c>
      <c r="X475" s="4">
        <f t="shared" si="152"/>
        <v>0</v>
      </c>
    </row>
    <row r="476" spans="1:24" ht="38.25">
      <c r="A476" s="36" t="s">
        <v>254</v>
      </c>
      <c r="B476" s="37">
        <v>1</v>
      </c>
      <c r="C476" s="37">
        <v>5</v>
      </c>
      <c r="D476" s="37">
        <v>3</v>
      </c>
      <c r="E476" s="37">
        <v>0</v>
      </c>
      <c r="F476" s="37">
        <v>1</v>
      </c>
      <c r="G476" s="38"/>
      <c r="H476" s="43" t="s">
        <v>92</v>
      </c>
      <c r="I476" s="38" t="s">
        <v>279</v>
      </c>
      <c r="J476" s="44" t="s">
        <v>280</v>
      </c>
      <c r="K476" s="44" t="s">
        <v>280</v>
      </c>
      <c r="L476" s="44" t="s">
        <v>280</v>
      </c>
      <c r="M476" s="46" t="s">
        <v>280</v>
      </c>
      <c r="N476" s="46" t="s">
        <v>280</v>
      </c>
      <c r="O476" s="44" t="s">
        <v>280</v>
      </c>
      <c r="P476" s="44" t="s">
        <v>280</v>
      </c>
      <c r="Q476" s="44" t="s">
        <v>280</v>
      </c>
      <c r="R476" s="44" t="s">
        <v>280</v>
      </c>
      <c r="S476" s="44" t="s">
        <v>280</v>
      </c>
      <c r="T476" s="44" t="s">
        <v>280</v>
      </c>
      <c r="U476" s="44" t="s">
        <v>280</v>
      </c>
      <c r="V476" s="38">
        <v>2024</v>
      </c>
      <c r="W476" s="4"/>
      <c r="X476" s="4"/>
    </row>
    <row r="477" spans="1:24" ht="51">
      <c r="A477" s="33" t="s">
        <v>254</v>
      </c>
      <c r="B477" s="34">
        <v>1</v>
      </c>
      <c r="C477" s="34">
        <v>5</v>
      </c>
      <c r="D477" s="34">
        <v>3</v>
      </c>
      <c r="E477" s="34">
        <v>0</v>
      </c>
      <c r="F477" s="34">
        <v>1</v>
      </c>
      <c r="G477" s="35"/>
      <c r="H477" s="39" t="s">
        <v>210</v>
      </c>
      <c r="I477" s="35" t="s">
        <v>283</v>
      </c>
      <c r="J477" s="47">
        <v>25</v>
      </c>
      <c r="K477" s="47">
        <v>26</v>
      </c>
      <c r="L477" s="47">
        <v>27</v>
      </c>
      <c r="M477" s="70">
        <v>28</v>
      </c>
      <c r="N477" s="70">
        <v>28</v>
      </c>
      <c r="O477" s="70">
        <v>28</v>
      </c>
      <c r="P477" s="70">
        <v>28</v>
      </c>
      <c r="Q477" s="70">
        <v>28</v>
      </c>
      <c r="R477" s="70">
        <v>28</v>
      </c>
      <c r="S477" s="70">
        <v>29</v>
      </c>
      <c r="T477" s="70">
        <v>30</v>
      </c>
      <c r="U477" s="47">
        <f>J477+K477+L477+M477+O477+Q477+R477+S477+T477</f>
        <v>249</v>
      </c>
      <c r="V477" s="35">
        <v>2024</v>
      </c>
      <c r="W477" s="4">
        <f t="shared" si="151"/>
        <v>0</v>
      </c>
      <c r="X477" s="4">
        <f t="shared" si="152"/>
        <v>0</v>
      </c>
    </row>
    <row r="478" spans="1:26" s="7" customFormat="1" ht="76.5">
      <c r="A478" s="36" t="s">
        <v>254</v>
      </c>
      <c r="B478" s="37">
        <v>1</v>
      </c>
      <c r="C478" s="37">
        <v>5</v>
      </c>
      <c r="D478" s="37">
        <v>3</v>
      </c>
      <c r="E478" s="37">
        <v>0</v>
      </c>
      <c r="F478" s="37">
        <v>2</v>
      </c>
      <c r="G478" s="37"/>
      <c r="H478" s="49" t="s">
        <v>421</v>
      </c>
      <c r="I478" s="37" t="s">
        <v>255</v>
      </c>
      <c r="J478" s="45">
        <f aca="true" t="shared" si="159" ref="J478:T478">J479</f>
        <v>943.2</v>
      </c>
      <c r="K478" s="45">
        <f t="shared" si="159"/>
        <v>959</v>
      </c>
      <c r="L478" s="45">
        <f t="shared" si="159"/>
        <v>1166.6</v>
      </c>
      <c r="M478" s="50">
        <f t="shared" si="159"/>
        <v>1115.3</v>
      </c>
      <c r="N478" s="50">
        <f t="shared" si="159"/>
        <v>923.3</v>
      </c>
      <c r="O478" s="45">
        <f t="shared" si="159"/>
        <v>923.3</v>
      </c>
      <c r="P478" s="45">
        <f t="shared" si="159"/>
        <v>923.3</v>
      </c>
      <c r="Q478" s="45">
        <f t="shared" si="159"/>
        <v>923.3</v>
      </c>
      <c r="R478" s="50">
        <f t="shared" si="159"/>
        <v>923.3</v>
      </c>
      <c r="S478" s="50">
        <f t="shared" si="159"/>
        <v>923.3</v>
      </c>
      <c r="T478" s="50">
        <f t="shared" si="159"/>
        <v>923.3</v>
      </c>
      <c r="U478" s="45">
        <f>J478+K478+L478+M478+O478+Q478+R478+S478+T478</f>
        <v>8800.6</v>
      </c>
      <c r="V478" s="37">
        <v>2024</v>
      </c>
      <c r="W478" s="4">
        <f t="shared" si="151"/>
        <v>0</v>
      </c>
      <c r="X478" s="4">
        <f t="shared" si="152"/>
        <v>0</v>
      </c>
      <c r="Y478" s="4"/>
      <c r="Z478" s="3"/>
    </row>
    <row r="479" spans="1:26" s="7" customFormat="1" ht="12.75">
      <c r="A479" s="33" t="s">
        <v>254</v>
      </c>
      <c r="B479" s="34">
        <v>1</v>
      </c>
      <c r="C479" s="34">
        <v>5</v>
      </c>
      <c r="D479" s="34">
        <v>3</v>
      </c>
      <c r="E479" s="34">
        <v>0</v>
      </c>
      <c r="F479" s="34">
        <v>2</v>
      </c>
      <c r="G479" s="34">
        <v>2</v>
      </c>
      <c r="H479" s="51" t="s">
        <v>257</v>
      </c>
      <c r="I479" s="34" t="s">
        <v>255</v>
      </c>
      <c r="J479" s="52">
        <f>J480+J481</f>
        <v>943.2</v>
      </c>
      <c r="K479" s="52">
        <v>959</v>
      </c>
      <c r="L479" s="52">
        <v>1166.6</v>
      </c>
      <c r="M479" s="67">
        <v>1115.3</v>
      </c>
      <c r="N479" s="67">
        <v>923.3</v>
      </c>
      <c r="O479" s="67">
        <v>923.3</v>
      </c>
      <c r="P479" s="67">
        <v>923.3</v>
      </c>
      <c r="Q479" s="67">
        <v>923.3</v>
      </c>
      <c r="R479" s="67">
        <v>923.3</v>
      </c>
      <c r="S479" s="67">
        <v>923.3</v>
      </c>
      <c r="T479" s="67">
        <v>923.3</v>
      </c>
      <c r="U479" s="52">
        <f>J479+K479+L479+M479+O479+Q479+R479+S479+T479</f>
        <v>8800.6</v>
      </c>
      <c r="V479" s="34">
        <v>2024</v>
      </c>
      <c r="W479" s="4">
        <f t="shared" si="151"/>
        <v>0</v>
      </c>
      <c r="X479" s="4">
        <f t="shared" si="152"/>
        <v>0</v>
      </c>
      <c r="Y479" s="4"/>
      <c r="Z479" s="3"/>
    </row>
    <row r="480" spans="1:24" ht="114.75">
      <c r="A480" s="33" t="s">
        <v>254</v>
      </c>
      <c r="B480" s="34">
        <v>1</v>
      </c>
      <c r="C480" s="34">
        <v>5</v>
      </c>
      <c r="D480" s="34">
        <v>3</v>
      </c>
      <c r="E480" s="34">
        <v>0</v>
      </c>
      <c r="F480" s="34">
        <v>2</v>
      </c>
      <c r="G480" s="184"/>
      <c r="H480" s="54" t="s">
        <v>175</v>
      </c>
      <c r="I480" s="35" t="s">
        <v>255</v>
      </c>
      <c r="J480" s="99">
        <f>356+170+250+101+65</f>
        <v>942</v>
      </c>
      <c r="K480" s="99">
        <v>0</v>
      </c>
      <c r="L480" s="99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66">
        <v>0</v>
      </c>
      <c r="U480" s="99">
        <v>942</v>
      </c>
      <c r="V480" s="35">
        <v>2016</v>
      </c>
      <c r="W480" s="4">
        <f t="shared" si="151"/>
        <v>0</v>
      </c>
      <c r="X480" s="4">
        <f t="shared" si="152"/>
        <v>0</v>
      </c>
    </row>
    <row r="481" spans="1:24" ht="114.75">
      <c r="A481" s="33" t="s">
        <v>254</v>
      </c>
      <c r="B481" s="34">
        <v>1</v>
      </c>
      <c r="C481" s="34">
        <v>5</v>
      </c>
      <c r="D481" s="34">
        <v>3</v>
      </c>
      <c r="E481" s="34">
        <v>0</v>
      </c>
      <c r="F481" s="34">
        <v>2</v>
      </c>
      <c r="G481" s="184"/>
      <c r="H481" s="54" t="s">
        <v>176</v>
      </c>
      <c r="I481" s="35" t="s">
        <v>255</v>
      </c>
      <c r="J481" s="99">
        <v>1.2</v>
      </c>
      <c r="K481" s="99">
        <v>0</v>
      </c>
      <c r="L481" s="99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66">
        <v>0</v>
      </c>
      <c r="U481" s="99">
        <v>1.2</v>
      </c>
      <c r="V481" s="35">
        <v>2016</v>
      </c>
      <c r="W481" s="4">
        <f t="shared" si="151"/>
        <v>0</v>
      </c>
      <c r="X481" s="4">
        <f t="shared" si="152"/>
        <v>0</v>
      </c>
    </row>
    <row r="482" spans="1:24" ht="89.25">
      <c r="A482" s="33" t="s">
        <v>254</v>
      </c>
      <c r="B482" s="34">
        <v>1</v>
      </c>
      <c r="C482" s="34">
        <v>5</v>
      </c>
      <c r="D482" s="34">
        <v>3</v>
      </c>
      <c r="E482" s="34">
        <v>0</v>
      </c>
      <c r="F482" s="34">
        <v>2</v>
      </c>
      <c r="G482" s="184"/>
      <c r="H482" s="54" t="s">
        <v>290</v>
      </c>
      <c r="I482" s="35" t="s">
        <v>283</v>
      </c>
      <c r="J482" s="137">
        <v>0</v>
      </c>
      <c r="K482" s="137">
        <v>30</v>
      </c>
      <c r="L482" s="137">
        <v>32</v>
      </c>
      <c r="M482" s="74">
        <v>32</v>
      </c>
      <c r="N482" s="74">
        <v>32</v>
      </c>
      <c r="O482" s="74">
        <v>32</v>
      </c>
      <c r="P482" s="74">
        <v>32</v>
      </c>
      <c r="Q482" s="74">
        <v>32</v>
      </c>
      <c r="R482" s="74">
        <v>32</v>
      </c>
      <c r="S482" s="74">
        <v>32</v>
      </c>
      <c r="T482" s="74">
        <v>32</v>
      </c>
      <c r="U482" s="137">
        <v>32</v>
      </c>
      <c r="V482" s="137">
        <v>2024</v>
      </c>
      <c r="W482" s="4">
        <f t="shared" si="151"/>
        <v>0</v>
      </c>
      <c r="X482" s="4">
        <f t="shared" si="152"/>
        <v>0</v>
      </c>
    </row>
    <row r="483" spans="1:26" s="7" customFormat="1" ht="76.5">
      <c r="A483" s="36" t="s">
        <v>254</v>
      </c>
      <c r="B483" s="37">
        <v>1</v>
      </c>
      <c r="C483" s="37">
        <v>5</v>
      </c>
      <c r="D483" s="37">
        <v>3</v>
      </c>
      <c r="E483" s="37">
        <v>0</v>
      </c>
      <c r="F483" s="37">
        <v>3</v>
      </c>
      <c r="G483" s="37">
        <v>3</v>
      </c>
      <c r="H483" s="49" t="s">
        <v>422</v>
      </c>
      <c r="I483" s="37" t="s">
        <v>255</v>
      </c>
      <c r="J483" s="45">
        <f aca="true" t="shared" si="160" ref="J483:T483">J484</f>
        <v>35052.5</v>
      </c>
      <c r="K483" s="45">
        <f t="shared" si="160"/>
        <v>33138.7</v>
      </c>
      <c r="L483" s="45">
        <f t="shared" si="160"/>
        <v>39846.7</v>
      </c>
      <c r="M483" s="50">
        <f t="shared" si="160"/>
        <v>42075.3</v>
      </c>
      <c r="N483" s="50">
        <f t="shared" si="160"/>
        <v>10000</v>
      </c>
      <c r="O483" s="45">
        <f t="shared" si="160"/>
        <v>10000</v>
      </c>
      <c r="P483" s="45">
        <f t="shared" si="160"/>
        <v>10000</v>
      </c>
      <c r="Q483" s="45">
        <f t="shared" si="160"/>
        <v>10000</v>
      </c>
      <c r="R483" s="50">
        <f t="shared" si="160"/>
        <v>10000</v>
      </c>
      <c r="S483" s="50">
        <f t="shared" si="160"/>
        <v>10000</v>
      </c>
      <c r="T483" s="50">
        <f t="shared" si="160"/>
        <v>10000</v>
      </c>
      <c r="U483" s="45">
        <f aca="true" t="shared" si="161" ref="U483:U499">J483+K483+L483+M483+O483+Q483+R483+S483+T483</f>
        <v>200113.2</v>
      </c>
      <c r="V483" s="37">
        <v>2024</v>
      </c>
      <c r="W483" s="4">
        <f t="shared" si="151"/>
        <v>0</v>
      </c>
      <c r="X483" s="4">
        <f t="shared" si="152"/>
        <v>0</v>
      </c>
      <c r="Y483" s="4"/>
      <c r="Z483" s="3"/>
    </row>
    <row r="484" spans="1:26" s="7" customFormat="1" ht="12.75">
      <c r="A484" s="33" t="s">
        <v>254</v>
      </c>
      <c r="B484" s="34">
        <v>1</v>
      </c>
      <c r="C484" s="34">
        <v>5</v>
      </c>
      <c r="D484" s="34">
        <v>3</v>
      </c>
      <c r="E484" s="34">
        <v>0</v>
      </c>
      <c r="F484" s="34">
        <v>3</v>
      </c>
      <c r="G484" s="34">
        <v>3</v>
      </c>
      <c r="H484" s="51" t="s">
        <v>256</v>
      </c>
      <c r="I484" s="34" t="s">
        <v>255</v>
      </c>
      <c r="J484" s="52">
        <f>J485+J486</f>
        <v>35052.5</v>
      </c>
      <c r="K484" s="52">
        <v>33138.7</v>
      </c>
      <c r="L484" s="52">
        <v>39846.7</v>
      </c>
      <c r="M484" s="67">
        <v>42075.3</v>
      </c>
      <c r="N484" s="67">
        <v>10000</v>
      </c>
      <c r="O484" s="67">
        <v>10000</v>
      </c>
      <c r="P484" s="67">
        <v>10000</v>
      </c>
      <c r="Q484" s="67">
        <v>10000</v>
      </c>
      <c r="R484" s="67">
        <v>10000</v>
      </c>
      <c r="S484" s="67">
        <v>10000</v>
      </c>
      <c r="T484" s="67">
        <v>10000</v>
      </c>
      <c r="U484" s="52">
        <f t="shared" si="161"/>
        <v>200113.2</v>
      </c>
      <c r="V484" s="34">
        <v>2024</v>
      </c>
      <c r="W484" s="4">
        <f t="shared" si="151"/>
        <v>0</v>
      </c>
      <c r="X484" s="4">
        <f t="shared" si="152"/>
        <v>0</v>
      </c>
      <c r="Y484" s="4"/>
      <c r="Z484" s="3"/>
    </row>
    <row r="485" spans="1:24" ht="114.75">
      <c r="A485" s="33" t="s">
        <v>254</v>
      </c>
      <c r="B485" s="34">
        <v>1</v>
      </c>
      <c r="C485" s="34">
        <v>5</v>
      </c>
      <c r="D485" s="34">
        <v>3</v>
      </c>
      <c r="E485" s="34">
        <v>0</v>
      </c>
      <c r="F485" s="34">
        <v>3</v>
      </c>
      <c r="G485" s="35"/>
      <c r="H485" s="39" t="s">
        <v>180</v>
      </c>
      <c r="I485" s="35" t="s">
        <v>192</v>
      </c>
      <c r="J485" s="40">
        <f>1417.6+6277+5723.4+6004.6</f>
        <v>19422.6</v>
      </c>
      <c r="K485" s="40">
        <v>0</v>
      </c>
      <c r="L485" s="40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0">
        <f t="shared" si="161"/>
        <v>19422.6</v>
      </c>
      <c r="V485" s="35">
        <v>2016</v>
      </c>
      <c r="W485" s="4">
        <f t="shared" si="151"/>
        <v>0</v>
      </c>
      <c r="X485" s="4">
        <f t="shared" si="152"/>
        <v>0</v>
      </c>
    </row>
    <row r="486" spans="1:24" ht="127.5">
      <c r="A486" s="33" t="s">
        <v>254</v>
      </c>
      <c r="B486" s="34">
        <v>1</v>
      </c>
      <c r="C486" s="34">
        <v>5</v>
      </c>
      <c r="D486" s="34">
        <v>3</v>
      </c>
      <c r="E486" s="34">
        <v>0</v>
      </c>
      <c r="F486" s="34">
        <v>3</v>
      </c>
      <c r="G486" s="35"/>
      <c r="H486" s="39" t="s">
        <v>103</v>
      </c>
      <c r="I486" s="35" t="s">
        <v>192</v>
      </c>
      <c r="J486" s="40">
        <f>1199.2+5979.6+4276.7+4174.4</f>
        <v>15629.9</v>
      </c>
      <c r="K486" s="40">
        <v>0</v>
      </c>
      <c r="L486" s="40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40">
        <f t="shared" si="161"/>
        <v>15629.9</v>
      </c>
      <c r="V486" s="35">
        <v>2016</v>
      </c>
      <c r="W486" s="4">
        <f t="shared" si="151"/>
        <v>0</v>
      </c>
      <c r="X486" s="4">
        <f t="shared" si="152"/>
        <v>0</v>
      </c>
    </row>
    <row r="487" spans="1:24" ht="76.5">
      <c r="A487" s="33" t="s">
        <v>254</v>
      </c>
      <c r="B487" s="34">
        <v>1</v>
      </c>
      <c r="C487" s="34">
        <v>5</v>
      </c>
      <c r="D487" s="34">
        <v>3</v>
      </c>
      <c r="E487" s="34">
        <v>0</v>
      </c>
      <c r="F487" s="34">
        <v>3</v>
      </c>
      <c r="G487" s="35"/>
      <c r="H487" s="39" t="s">
        <v>148</v>
      </c>
      <c r="I487" s="35" t="s">
        <v>283</v>
      </c>
      <c r="J487" s="47">
        <v>0</v>
      </c>
      <c r="K487" s="47">
        <v>1506</v>
      </c>
      <c r="L487" s="47">
        <v>1570</v>
      </c>
      <c r="M487" s="70">
        <v>1560</v>
      </c>
      <c r="N487" s="70">
        <v>454</v>
      </c>
      <c r="O487" s="70">
        <v>1762</v>
      </c>
      <c r="P487" s="70">
        <v>454</v>
      </c>
      <c r="Q487" s="70">
        <v>454</v>
      </c>
      <c r="R487" s="70">
        <v>454</v>
      </c>
      <c r="S487" s="70">
        <v>454</v>
      </c>
      <c r="T487" s="70">
        <v>454</v>
      </c>
      <c r="U487" s="47">
        <f t="shared" si="161"/>
        <v>8214</v>
      </c>
      <c r="V487" s="35">
        <v>2024</v>
      </c>
      <c r="W487" s="4">
        <f t="shared" si="151"/>
        <v>1308</v>
      </c>
      <c r="X487" s="4">
        <f t="shared" si="152"/>
        <v>0</v>
      </c>
    </row>
    <row r="488" spans="1:24" ht="76.5">
      <c r="A488" s="33" t="s">
        <v>254</v>
      </c>
      <c r="B488" s="34">
        <v>1</v>
      </c>
      <c r="C488" s="34">
        <v>5</v>
      </c>
      <c r="D488" s="34">
        <v>3</v>
      </c>
      <c r="E488" s="34">
        <v>0</v>
      </c>
      <c r="F488" s="34">
        <v>3</v>
      </c>
      <c r="G488" s="35"/>
      <c r="H488" s="39" t="s">
        <v>291</v>
      </c>
      <c r="I488" s="35" t="s">
        <v>283</v>
      </c>
      <c r="J488" s="47">
        <v>0</v>
      </c>
      <c r="K488" s="47">
        <v>982</v>
      </c>
      <c r="L488" s="47">
        <v>990</v>
      </c>
      <c r="M488" s="70">
        <v>900</v>
      </c>
      <c r="N488" s="70">
        <v>296</v>
      </c>
      <c r="O488" s="70">
        <v>1169</v>
      </c>
      <c r="P488" s="70">
        <v>296</v>
      </c>
      <c r="Q488" s="70">
        <v>296</v>
      </c>
      <c r="R488" s="70">
        <v>296</v>
      </c>
      <c r="S488" s="70">
        <v>296</v>
      </c>
      <c r="T488" s="70">
        <v>296</v>
      </c>
      <c r="U488" s="47">
        <f t="shared" si="161"/>
        <v>5225</v>
      </c>
      <c r="V488" s="35">
        <v>2024</v>
      </c>
      <c r="W488" s="4">
        <f t="shared" si="151"/>
        <v>873</v>
      </c>
      <c r="X488" s="4">
        <f t="shared" si="152"/>
        <v>0</v>
      </c>
    </row>
    <row r="489" spans="1:24" ht="76.5">
      <c r="A489" s="33" t="s">
        <v>254</v>
      </c>
      <c r="B489" s="34">
        <v>1</v>
      </c>
      <c r="C489" s="34">
        <v>5</v>
      </c>
      <c r="D489" s="34">
        <v>3</v>
      </c>
      <c r="E489" s="34">
        <v>0</v>
      </c>
      <c r="F489" s="34">
        <v>3</v>
      </c>
      <c r="G489" s="35"/>
      <c r="H489" s="39" t="s">
        <v>292</v>
      </c>
      <c r="I489" s="35" t="s">
        <v>283</v>
      </c>
      <c r="J489" s="47">
        <v>0</v>
      </c>
      <c r="K489" s="47">
        <v>176</v>
      </c>
      <c r="L489" s="47">
        <v>175</v>
      </c>
      <c r="M489" s="70">
        <v>156</v>
      </c>
      <c r="N489" s="70">
        <v>53</v>
      </c>
      <c r="O489" s="70">
        <v>246</v>
      </c>
      <c r="P489" s="70">
        <v>53</v>
      </c>
      <c r="Q489" s="70">
        <v>53</v>
      </c>
      <c r="R489" s="70">
        <v>53</v>
      </c>
      <c r="S489" s="70">
        <v>53</v>
      </c>
      <c r="T489" s="70">
        <v>53</v>
      </c>
      <c r="U489" s="47">
        <f t="shared" si="161"/>
        <v>965</v>
      </c>
      <c r="V489" s="35">
        <v>2024</v>
      </c>
      <c r="W489" s="4">
        <f t="shared" si="151"/>
        <v>193</v>
      </c>
      <c r="X489" s="4">
        <f t="shared" si="152"/>
        <v>0</v>
      </c>
    </row>
    <row r="490" spans="1:26" s="7" customFormat="1" ht="51">
      <c r="A490" s="36" t="s">
        <v>254</v>
      </c>
      <c r="B490" s="37">
        <v>1</v>
      </c>
      <c r="C490" s="37">
        <v>5</v>
      </c>
      <c r="D490" s="37">
        <v>3</v>
      </c>
      <c r="E490" s="37">
        <v>0</v>
      </c>
      <c r="F490" s="37">
        <v>4</v>
      </c>
      <c r="G490" s="37"/>
      <c r="H490" s="49" t="s">
        <v>423</v>
      </c>
      <c r="I490" s="37" t="s">
        <v>255</v>
      </c>
      <c r="J490" s="45">
        <f aca="true" t="shared" si="162" ref="J490:T490">J491</f>
        <v>227.7</v>
      </c>
      <c r="K490" s="45">
        <f t="shared" si="162"/>
        <v>240</v>
      </c>
      <c r="L490" s="45">
        <f t="shared" si="162"/>
        <v>308.5</v>
      </c>
      <c r="M490" s="50">
        <f t="shared" si="162"/>
        <v>406.8</v>
      </c>
      <c r="N490" s="50">
        <f t="shared" si="162"/>
        <v>240</v>
      </c>
      <c r="O490" s="45">
        <f t="shared" si="162"/>
        <v>240</v>
      </c>
      <c r="P490" s="45">
        <f t="shared" si="162"/>
        <v>240</v>
      </c>
      <c r="Q490" s="45">
        <f t="shared" si="162"/>
        <v>240</v>
      </c>
      <c r="R490" s="50">
        <f t="shared" si="162"/>
        <v>240</v>
      </c>
      <c r="S490" s="50">
        <f t="shared" si="162"/>
        <v>240</v>
      </c>
      <c r="T490" s="50">
        <f t="shared" si="162"/>
        <v>240</v>
      </c>
      <c r="U490" s="45">
        <f t="shared" si="161"/>
        <v>2383</v>
      </c>
      <c r="V490" s="37">
        <v>2024</v>
      </c>
      <c r="W490" s="4">
        <f t="shared" si="151"/>
        <v>0</v>
      </c>
      <c r="X490" s="4">
        <f t="shared" si="152"/>
        <v>0</v>
      </c>
      <c r="Y490" s="4"/>
      <c r="Z490" s="3"/>
    </row>
    <row r="491" spans="1:26" s="7" customFormat="1" ht="12.75">
      <c r="A491" s="33" t="s">
        <v>254</v>
      </c>
      <c r="B491" s="34">
        <v>1</v>
      </c>
      <c r="C491" s="34">
        <v>5</v>
      </c>
      <c r="D491" s="34">
        <v>3</v>
      </c>
      <c r="E491" s="34">
        <v>0</v>
      </c>
      <c r="F491" s="34">
        <v>4</v>
      </c>
      <c r="G491" s="34">
        <v>3</v>
      </c>
      <c r="H491" s="51" t="s">
        <v>256</v>
      </c>
      <c r="I491" s="34" t="s">
        <v>255</v>
      </c>
      <c r="J491" s="52">
        <f>240+8-20.3</f>
        <v>227.7</v>
      </c>
      <c r="K491" s="52">
        <v>240</v>
      </c>
      <c r="L491" s="52">
        <f>308.4+0.07</f>
        <v>308.5</v>
      </c>
      <c r="M491" s="67">
        <v>406.8</v>
      </c>
      <c r="N491" s="67">
        <v>240</v>
      </c>
      <c r="O491" s="67">
        <v>240</v>
      </c>
      <c r="P491" s="67">
        <v>240</v>
      </c>
      <c r="Q491" s="67">
        <v>240</v>
      </c>
      <c r="R491" s="67">
        <v>240</v>
      </c>
      <c r="S491" s="67">
        <v>240</v>
      </c>
      <c r="T491" s="67">
        <v>240</v>
      </c>
      <c r="U491" s="52">
        <f t="shared" si="161"/>
        <v>2383</v>
      </c>
      <c r="V491" s="34">
        <v>2024</v>
      </c>
      <c r="W491" s="4">
        <f t="shared" si="151"/>
        <v>0</v>
      </c>
      <c r="X491" s="4">
        <f t="shared" si="152"/>
        <v>0</v>
      </c>
      <c r="Y491" s="4"/>
      <c r="Z491" s="3"/>
    </row>
    <row r="492" spans="1:24" ht="51">
      <c r="A492" s="33" t="s">
        <v>254</v>
      </c>
      <c r="B492" s="34">
        <v>1</v>
      </c>
      <c r="C492" s="34">
        <v>5</v>
      </c>
      <c r="D492" s="34">
        <v>3</v>
      </c>
      <c r="E492" s="34">
        <v>0</v>
      </c>
      <c r="F492" s="34">
        <v>4</v>
      </c>
      <c r="G492" s="34">
        <v>3</v>
      </c>
      <c r="H492" s="39" t="s">
        <v>104</v>
      </c>
      <c r="I492" s="35" t="s">
        <v>294</v>
      </c>
      <c r="J492" s="47">
        <v>38</v>
      </c>
      <c r="K492" s="47">
        <v>42</v>
      </c>
      <c r="L492" s="47">
        <v>26</v>
      </c>
      <c r="M492" s="70">
        <v>29</v>
      </c>
      <c r="N492" s="70">
        <v>44</v>
      </c>
      <c r="O492" s="70">
        <v>44</v>
      </c>
      <c r="P492" s="70">
        <v>44</v>
      </c>
      <c r="Q492" s="70">
        <v>44</v>
      </c>
      <c r="R492" s="70">
        <v>44</v>
      </c>
      <c r="S492" s="70">
        <v>44</v>
      </c>
      <c r="T492" s="70">
        <v>44</v>
      </c>
      <c r="U492" s="47">
        <f t="shared" si="161"/>
        <v>355</v>
      </c>
      <c r="V492" s="35">
        <v>2024</v>
      </c>
      <c r="W492" s="4">
        <f t="shared" si="151"/>
        <v>0</v>
      </c>
      <c r="X492" s="4">
        <f t="shared" si="152"/>
        <v>0</v>
      </c>
    </row>
    <row r="493" spans="1:24" ht="63.75">
      <c r="A493" s="33" t="s">
        <v>254</v>
      </c>
      <c r="B493" s="34">
        <v>1</v>
      </c>
      <c r="C493" s="34">
        <v>5</v>
      </c>
      <c r="D493" s="34">
        <v>3</v>
      </c>
      <c r="E493" s="34">
        <v>0</v>
      </c>
      <c r="F493" s="34">
        <v>4</v>
      </c>
      <c r="G493" s="35"/>
      <c r="H493" s="39" t="s">
        <v>193</v>
      </c>
      <c r="I493" s="35" t="s">
        <v>283</v>
      </c>
      <c r="J493" s="47">
        <v>35</v>
      </c>
      <c r="K493" s="47">
        <v>35</v>
      </c>
      <c r="L493" s="47">
        <v>45</v>
      </c>
      <c r="M493" s="70">
        <v>14</v>
      </c>
      <c r="N493" s="70">
        <v>35</v>
      </c>
      <c r="O493" s="70">
        <v>35</v>
      </c>
      <c r="P493" s="70">
        <v>35</v>
      </c>
      <c r="Q493" s="70">
        <v>35</v>
      </c>
      <c r="R493" s="70">
        <v>35</v>
      </c>
      <c r="S493" s="70">
        <v>35</v>
      </c>
      <c r="T493" s="70">
        <v>35</v>
      </c>
      <c r="U493" s="47">
        <f t="shared" si="161"/>
        <v>304</v>
      </c>
      <c r="V493" s="35">
        <v>2024</v>
      </c>
      <c r="W493" s="4">
        <f t="shared" si="151"/>
        <v>0</v>
      </c>
      <c r="X493" s="4">
        <f t="shared" si="152"/>
        <v>0</v>
      </c>
    </row>
    <row r="494" spans="1:24" ht="51">
      <c r="A494" s="33" t="s">
        <v>254</v>
      </c>
      <c r="B494" s="34">
        <v>1</v>
      </c>
      <c r="C494" s="34">
        <v>5</v>
      </c>
      <c r="D494" s="34">
        <v>3</v>
      </c>
      <c r="E494" s="34">
        <v>0</v>
      </c>
      <c r="F494" s="34">
        <v>4</v>
      </c>
      <c r="G494" s="35"/>
      <c r="H494" s="39" t="s">
        <v>194</v>
      </c>
      <c r="I494" s="35" t="s">
        <v>283</v>
      </c>
      <c r="J494" s="47">
        <v>150</v>
      </c>
      <c r="K494" s="47">
        <v>150</v>
      </c>
      <c r="L494" s="47">
        <v>155</v>
      </c>
      <c r="M494" s="70">
        <v>155</v>
      </c>
      <c r="N494" s="70">
        <v>155</v>
      </c>
      <c r="O494" s="70">
        <v>155</v>
      </c>
      <c r="P494" s="70">
        <v>150</v>
      </c>
      <c r="Q494" s="70">
        <v>150</v>
      </c>
      <c r="R494" s="70">
        <v>155</v>
      </c>
      <c r="S494" s="70">
        <v>155</v>
      </c>
      <c r="T494" s="70">
        <v>155</v>
      </c>
      <c r="U494" s="47">
        <f t="shared" si="161"/>
        <v>1380</v>
      </c>
      <c r="V494" s="35">
        <v>2024</v>
      </c>
      <c r="W494" s="4">
        <f t="shared" si="151"/>
        <v>0</v>
      </c>
      <c r="X494" s="4">
        <f t="shared" si="152"/>
        <v>0</v>
      </c>
    </row>
    <row r="495" spans="1:26" s="7" customFormat="1" ht="63.75">
      <c r="A495" s="36" t="s">
        <v>254</v>
      </c>
      <c r="B495" s="37">
        <v>1</v>
      </c>
      <c r="C495" s="37">
        <v>5</v>
      </c>
      <c r="D495" s="37">
        <v>3</v>
      </c>
      <c r="E495" s="37">
        <v>0</v>
      </c>
      <c r="F495" s="37">
        <v>5</v>
      </c>
      <c r="G495" s="37">
        <v>3</v>
      </c>
      <c r="H495" s="49" t="s">
        <v>424</v>
      </c>
      <c r="I495" s="37" t="s">
        <v>255</v>
      </c>
      <c r="J495" s="45">
        <f>J496</f>
        <v>23512.3</v>
      </c>
      <c r="K495" s="45">
        <f>K496</f>
        <v>55778.6</v>
      </c>
      <c r="L495" s="45">
        <f>L496</f>
        <v>0</v>
      </c>
      <c r="M495" s="50">
        <v>0</v>
      </c>
      <c r="N495" s="50">
        <v>0</v>
      </c>
      <c r="O495" s="45">
        <f aca="true" t="shared" si="163" ref="O495:T495">O496</f>
        <v>0</v>
      </c>
      <c r="P495" s="45">
        <f t="shared" si="163"/>
        <v>0</v>
      </c>
      <c r="Q495" s="45">
        <f t="shared" si="163"/>
        <v>0</v>
      </c>
      <c r="R495" s="50">
        <f t="shared" si="163"/>
        <v>0</v>
      </c>
      <c r="S495" s="50">
        <f t="shared" si="163"/>
        <v>0</v>
      </c>
      <c r="T495" s="50">
        <f t="shared" si="163"/>
        <v>0</v>
      </c>
      <c r="U495" s="45">
        <f t="shared" si="161"/>
        <v>79290.9</v>
      </c>
      <c r="V495" s="37">
        <v>2017</v>
      </c>
      <c r="W495" s="4">
        <f t="shared" si="151"/>
        <v>0</v>
      </c>
      <c r="X495" s="4">
        <f t="shared" si="152"/>
        <v>0</v>
      </c>
      <c r="Y495" s="4"/>
      <c r="Z495" s="3"/>
    </row>
    <row r="496" spans="1:26" s="7" customFormat="1" ht="12.75">
      <c r="A496" s="33" t="s">
        <v>254</v>
      </c>
      <c r="B496" s="34">
        <v>1</v>
      </c>
      <c r="C496" s="34">
        <v>5</v>
      </c>
      <c r="D496" s="34">
        <v>3</v>
      </c>
      <c r="E496" s="34">
        <v>0</v>
      </c>
      <c r="F496" s="34">
        <v>5</v>
      </c>
      <c r="G496" s="34">
        <v>3</v>
      </c>
      <c r="H496" s="51" t="s">
        <v>256</v>
      </c>
      <c r="I496" s="34" t="s">
        <v>255</v>
      </c>
      <c r="J496" s="52">
        <f>12000+11512.3</f>
        <v>23512.3</v>
      </c>
      <c r="K496" s="52">
        <v>55778.6</v>
      </c>
      <c r="L496" s="52">
        <v>0</v>
      </c>
      <c r="M496" s="67">
        <v>0</v>
      </c>
      <c r="N496" s="67">
        <v>0</v>
      </c>
      <c r="O496" s="67">
        <v>0</v>
      </c>
      <c r="P496" s="67">
        <v>0</v>
      </c>
      <c r="Q496" s="67">
        <v>0</v>
      </c>
      <c r="R496" s="67">
        <v>0</v>
      </c>
      <c r="S496" s="67">
        <v>0</v>
      </c>
      <c r="T496" s="67">
        <v>0</v>
      </c>
      <c r="U496" s="52">
        <f t="shared" si="161"/>
        <v>79290.9</v>
      </c>
      <c r="V496" s="34">
        <v>2017</v>
      </c>
      <c r="W496" s="4">
        <f t="shared" si="151"/>
        <v>0</v>
      </c>
      <c r="X496" s="4">
        <f t="shared" si="152"/>
        <v>0</v>
      </c>
      <c r="Y496" s="4"/>
      <c r="Z496" s="3"/>
    </row>
    <row r="497" spans="1:24" ht="63.75">
      <c r="A497" s="33" t="s">
        <v>254</v>
      </c>
      <c r="B497" s="34">
        <v>1</v>
      </c>
      <c r="C497" s="34">
        <v>5</v>
      </c>
      <c r="D497" s="34">
        <v>3</v>
      </c>
      <c r="E497" s="34">
        <v>0</v>
      </c>
      <c r="F497" s="34">
        <v>5</v>
      </c>
      <c r="G497" s="35"/>
      <c r="H497" s="39" t="s">
        <v>285</v>
      </c>
      <c r="I497" s="35" t="s">
        <v>283</v>
      </c>
      <c r="J497" s="137">
        <v>745</v>
      </c>
      <c r="K497" s="47">
        <v>1323</v>
      </c>
      <c r="L497" s="47">
        <v>0</v>
      </c>
      <c r="M497" s="74">
        <v>0</v>
      </c>
      <c r="N497" s="74">
        <v>0</v>
      </c>
      <c r="O497" s="74">
        <v>0</v>
      </c>
      <c r="P497" s="74">
        <v>0</v>
      </c>
      <c r="Q497" s="74">
        <v>0</v>
      </c>
      <c r="R497" s="74">
        <v>0</v>
      </c>
      <c r="S497" s="74">
        <v>0</v>
      </c>
      <c r="T497" s="74">
        <v>0</v>
      </c>
      <c r="U497" s="47">
        <f t="shared" si="161"/>
        <v>2068</v>
      </c>
      <c r="V497" s="35">
        <v>2017</v>
      </c>
      <c r="W497" s="4">
        <f t="shared" si="151"/>
        <v>0</v>
      </c>
      <c r="X497" s="4">
        <f t="shared" si="152"/>
        <v>0</v>
      </c>
    </row>
    <row r="498" spans="1:26" s="7" customFormat="1" ht="38.25">
      <c r="A498" s="31" t="s">
        <v>254</v>
      </c>
      <c r="B498" s="32">
        <v>1</v>
      </c>
      <c r="C498" s="32">
        <v>5</v>
      </c>
      <c r="D498" s="32">
        <v>4</v>
      </c>
      <c r="E498" s="32">
        <v>0</v>
      </c>
      <c r="F498" s="32">
        <v>0</v>
      </c>
      <c r="G498" s="32"/>
      <c r="H498" s="30" t="s">
        <v>195</v>
      </c>
      <c r="I498" s="32" t="s">
        <v>255</v>
      </c>
      <c r="J498" s="68">
        <f aca="true" t="shared" si="164" ref="J498:P498">J499</f>
        <v>125</v>
      </c>
      <c r="K498" s="68">
        <f t="shared" si="164"/>
        <v>125</v>
      </c>
      <c r="L498" s="68">
        <f t="shared" si="164"/>
        <v>125</v>
      </c>
      <c r="M498" s="68">
        <f t="shared" si="164"/>
        <v>124.5</v>
      </c>
      <c r="N498" s="68">
        <f t="shared" si="164"/>
        <v>125</v>
      </c>
      <c r="O498" s="68">
        <f t="shared" si="164"/>
        <v>125</v>
      </c>
      <c r="P498" s="68">
        <f t="shared" si="164"/>
        <v>125</v>
      </c>
      <c r="Q498" s="68">
        <v>125</v>
      </c>
      <c r="R498" s="68">
        <f>R499</f>
        <v>125</v>
      </c>
      <c r="S498" s="68">
        <f>S499</f>
        <v>125</v>
      </c>
      <c r="T498" s="68">
        <f>T499</f>
        <v>125</v>
      </c>
      <c r="U498" s="68">
        <f t="shared" si="161"/>
        <v>1124.5</v>
      </c>
      <c r="V498" s="32">
        <v>2024</v>
      </c>
      <c r="W498" s="4">
        <f t="shared" si="151"/>
        <v>0</v>
      </c>
      <c r="X498" s="4">
        <f t="shared" si="152"/>
        <v>0</v>
      </c>
      <c r="Y498" s="4"/>
      <c r="Z498" s="3"/>
    </row>
    <row r="499" spans="1:26" s="7" customFormat="1" ht="12.75">
      <c r="A499" s="33" t="s">
        <v>254</v>
      </c>
      <c r="B499" s="34">
        <v>1</v>
      </c>
      <c r="C499" s="34">
        <v>5</v>
      </c>
      <c r="D499" s="34">
        <v>4</v>
      </c>
      <c r="E499" s="34">
        <v>0</v>
      </c>
      <c r="F499" s="34">
        <v>0</v>
      </c>
      <c r="G499" s="34"/>
      <c r="H499" s="51" t="s">
        <v>256</v>
      </c>
      <c r="I499" s="34" t="s">
        <v>255</v>
      </c>
      <c r="J499" s="52">
        <f>J506</f>
        <v>125</v>
      </c>
      <c r="K499" s="52">
        <f>K506</f>
        <v>125</v>
      </c>
      <c r="L499" s="52">
        <f>L506</f>
        <v>125</v>
      </c>
      <c r="M499" s="52">
        <f aca="true" t="shared" si="165" ref="M499:T499">M506</f>
        <v>124.5</v>
      </c>
      <c r="N499" s="52">
        <f>N506</f>
        <v>125</v>
      </c>
      <c r="O499" s="52">
        <f t="shared" si="165"/>
        <v>125</v>
      </c>
      <c r="P499" s="52">
        <f>P506</f>
        <v>125</v>
      </c>
      <c r="Q499" s="52">
        <f t="shared" si="165"/>
        <v>125</v>
      </c>
      <c r="R499" s="52">
        <f t="shared" si="165"/>
        <v>125</v>
      </c>
      <c r="S499" s="52">
        <f t="shared" si="165"/>
        <v>125</v>
      </c>
      <c r="T499" s="52">
        <f t="shared" si="165"/>
        <v>125</v>
      </c>
      <c r="U499" s="52">
        <f t="shared" si="161"/>
        <v>1124.5</v>
      </c>
      <c r="V499" s="136">
        <v>2024</v>
      </c>
      <c r="W499" s="4">
        <f t="shared" si="151"/>
        <v>0</v>
      </c>
      <c r="X499" s="4">
        <f t="shared" si="152"/>
        <v>0</v>
      </c>
      <c r="Y499" s="4"/>
      <c r="Z499" s="3"/>
    </row>
    <row r="500" spans="1:24" ht="38.25">
      <c r="A500" s="33" t="s">
        <v>254</v>
      </c>
      <c r="B500" s="34">
        <v>1</v>
      </c>
      <c r="C500" s="34">
        <v>5</v>
      </c>
      <c r="D500" s="34">
        <v>4</v>
      </c>
      <c r="E500" s="34">
        <v>0</v>
      </c>
      <c r="F500" s="34">
        <v>0</v>
      </c>
      <c r="G500" s="34">
        <v>3</v>
      </c>
      <c r="H500" s="39" t="s">
        <v>196</v>
      </c>
      <c r="I500" s="117" t="s">
        <v>260</v>
      </c>
      <c r="J500" s="99">
        <v>70</v>
      </c>
      <c r="K500" s="99">
        <v>79</v>
      </c>
      <c r="L500" s="99">
        <v>78.3</v>
      </c>
      <c r="M500" s="66">
        <v>79</v>
      </c>
      <c r="N500" s="66">
        <v>80.2</v>
      </c>
      <c r="O500" s="80">
        <v>80.2</v>
      </c>
      <c r="P500" s="80">
        <v>100</v>
      </c>
      <c r="Q500" s="80">
        <v>80.2</v>
      </c>
      <c r="R500" s="80">
        <v>80.3</v>
      </c>
      <c r="S500" s="80">
        <v>80.3</v>
      </c>
      <c r="T500" s="80">
        <v>80.4</v>
      </c>
      <c r="U500" s="99">
        <v>80.4</v>
      </c>
      <c r="V500" s="35">
        <v>2024</v>
      </c>
      <c r="W500" s="4">
        <f t="shared" si="151"/>
        <v>0</v>
      </c>
      <c r="X500" s="4">
        <f t="shared" si="152"/>
        <v>-19.8</v>
      </c>
    </row>
    <row r="501" spans="1:24" ht="51">
      <c r="A501" s="33" t="s">
        <v>254</v>
      </c>
      <c r="B501" s="34">
        <v>1</v>
      </c>
      <c r="C501" s="34">
        <v>5</v>
      </c>
      <c r="D501" s="34">
        <v>4</v>
      </c>
      <c r="E501" s="34">
        <v>0</v>
      </c>
      <c r="F501" s="34">
        <v>0</v>
      </c>
      <c r="G501" s="35"/>
      <c r="H501" s="39" t="s">
        <v>197</v>
      </c>
      <c r="I501" s="117" t="s">
        <v>260</v>
      </c>
      <c r="J501" s="99">
        <v>42.6</v>
      </c>
      <c r="K501" s="99">
        <v>100</v>
      </c>
      <c r="L501" s="99">
        <v>100</v>
      </c>
      <c r="M501" s="66">
        <v>100</v>
      </c>
      <c r="N501" s="66">
        <v>100</v>
      </c>
      <c r="O501" s="80">
        <v>100</v>
      </c>
      <c r="P501" s="80">
        <v>100</v>
      </c>
      <c r="Q501" s="80">
        <v>100</v>
      </c>
      <c r="R501" s="80">
        <v>100</v>
      </c>
      <c r="S501" s="80">
        <v>100</v>
      </c>
      <c r="T501" s="80">
        <v>100</v>
      </c>
      <c r="U501" s="99">
        <v>100</v>
      </c>
      <c r="V501" s="35">
        <v>2024</v>
      </c>
      <c r="W501" s="4">
        <f t="shared" si="151"/>
        <v>0</v>
      </c>
      <c r="X501" s="4">
        <f t="shared" si="152"/>
        <v>0</v>
      </c>
    </row>
    <row r="502" spans="1:24" ht="63.75">
      <c r="A502" s="36" t="s">
        <v>254</v>
      </c>
      <c r="B502" s="37">
        <v>1</v>
      </c>
      <c r="C502" s="37">
        <v>5</v>
      </c>
      <c r="D502" s="37">
        <v>4</v>
      </c>
      <c r="E502" s="37">
        <v>0</v>
      </c>
      <c r="F502" s="37">
        <v>1</v>
      </c>
      <c r="G502" s="38"/>
      <c r="H502" s="43" t="s">
        <v>59</v>
      </c>
      <c r="I502" s="38" t="s">
        <v>279</v>
      </c>
      <c r="J502" s="44" t="s">
        <v>280</v>
      </c>
      <c r="K502" s="44" t="s">
        <v>280</v>
      </c>
      <c r="L502" s="45" t="s">
        <v>280</v>
      </c>
      <c r="M502" s="46" t="s">
        <v>280</v>
      </c>
      <c r="N502" s="46" t="s">
        <v>280</v>
      </c>
      <c r="O502" s="45" t="s">
        <v>280</v>
      </c>
      <c r="P502" s="45" t="s">
        <v>280</v>
      </c>
      <c r="Q502" s="45" t="s">
        <v>280</v>
      </c>
      <c r="R502" s="46" t="s">
        <v>280</v>
      </c>
      <c r="S502" s="46" t="s">
        <v>280</v>
      </c>
      <c r="T502" s="46" t="s">
        <v>280</v>
      </c>
      <c r="U502" s="44" t="s">
        <v>280</v>
      </c>
      <c r="V502" s="38">
        <v>2024</v>
      </c>
      <c r="W502" s="4"/>
      <c r="X502" s="4"/>
    </row>
    <row r="503" spans="1:24" ht="51">
      <c r="A503" s="33" t="s">
        <v>254</v>
      </c>
      <c r="B503" s="34">
        <v>1</v>
      </c>
      <c r="C503" s="34">
        <v>5</v>
      </c>
      <c r="D503" s="34">
        <v>4</v>
      </c>
      <c r="E503" s="34">
        <v>0</v>
      </c>
      <c r="F503" s="34">
        <v>1</v>
      </c>
      <c r="G503" s="35"/>
      <c r="H503" s="39" t="s">
        <v>198</v>
      </c>
      <c r="I503" s="117" t="s">
        <v>96</v>
      </c>
      <c r="J503" s="117">
        <v>1</v>
      </c>
      <c r="K503" s="117">
        <v>1</v>
      </c>
      <c r="L503" s="117">
        <v>1</v>
      </c>
      <c r="M503" s="103">
        <v>1</v>
      </c>
      <c r="N503" s="103">
        <v>1</v>
      </c>
      <c r="O503" s="103">
        <v>1</v>
      </c>
      <c r="P503" s="103">
        <v>1</v>
      </c>
      <c r="Q503" s="103">
        <v>1</v>
      </c>
      <c r="R503" s="103">
        <v>1</v>
      </c>
      <c r="S503" s="103">
        <v>1</v>
      </c>
      <c r="T503" s="103">
        <v>1</v>
      </c>
      <c r="U503" s="117">
        <f>J503+K503+L503+M503+O503+Q503+R503+S503+T503</f>
        <v>9</v>
      </c>
      <c r="V503" s="35">
        <v>2024</v>
      </c>
      <c r="W503" s="4">
        <f t="shared" si="151"/>
        <v>0</v>
      </c>
      <c r="X503" s="4">
        <f t="shared" si="152"/>
        <v>0</v>
      </c>
    </row>
    <row r="504" spans="1:24" ht="38.25">
      <c r="A504" s="33" t="s">
        <v>254</v>
      </c>
      <c r="B504" s="34">
        <v>1</v>
      </c>
      <c r="C504" s="34">
        <v>5</v>
      </c>
      <c r="D504" s="34">
        <v>4</v>
      </c>
      <c r="E504" s="34">
        <v>0</v>
      </c>
      <c r="F504" s="34">
        <v>1</v>
      </c>
      <c r="G504" s="35"/>
      <c r="H504" s="39" t="s">
        <v>39</v>
      </c>
      <c r="I504" s="35" t="s">
        <v>294</v>
      </c>
      <c r="J504" s="47">
        <v>29</v>
      </c>
      <c r="K504" s="47">
        <v>60</v>
      </c>
      <c r="L504" s="47">
        <v>61</v>
      </c>
      <c r="M504" s="70">
        <v>64</v>
      </c>
      <c r="N504" s="70">
        <v>64</v>
      </c>
      <c r="O504" s="70">
        <v>64</v>
      </c>
      <c r="P504" s="70">
        <v>64</v>
      </c>
      <c r="Q504" s="70">
        <v>64</v>
      </c>
      <c r="R504" s="70">
        <v>64</v>
      </c>
      <c r="S504" s="70">
        <v>64</v>
      </c>
      <c r="T504" s="70">
        <v>64</v>
      </c>
      <c r="U504" s="47">
        <v>64</v>
      </c>
      <c r="V504" s="35">
        <v>2024</v>
      </c>
      <c r="W504" s="4">
        <f t="shared" si="151"/>
        <v>0</v>
      </c>
      <c r="X504" s="4">
        <f t="shared" si="152"/>
        <v>0</v>
      </c>
    </row>
    <row r="505" spans="1:26" s="7" customFormat="1" ht="63.75">
      <c r="A505" s="36" t="s">
        <v>254</v>
      </c>
      <c r="B505" s="37">
        <v>1</v>
      </c>
      <c r="C505" s="37">
        <v>5</v>
      </c>
      <c r="D505" s="37">
        <v>4</v>
      </c>
      <c r="E505" s="37">
        <v>0</v>
      </c>
      <c r="F505" s="37">
        <v>2</v>
      </c>
      <c r="G505" s="37"/>
      <c r="H505" s="49" t="s">
        <v>425</v>
      </c>
      <c r="I505" s="37" t="s">
        <v>255</v>
      </c>
      <c r="J505" s="45">
        <f aca="true" t="shared" si="166" ref="J505:T505">J506</f>
        <v>125</v>
      </c>
      <c r="K505" s="45">
        <f t="shared" si="166"/>
        <v>125</v>
      </c>
      <c r="L505" s="45">
        <f t="shared" si="166"/>
        <v>125</v>
      </c>
      <c r="M505" s="50">
        <f t="shared" si="166"/>
        <v>124.5</v>
      </c>
      <c r="N505" s="50">
        <f t="shared" si="166"/>
        <v>125</v>
      </c>
      <c r="O505" s="45">
        <f t="shared" si="166"/>
        <v>125</v>
      </c>
      <c r="P505" s="45">
        <f t="shared" si="166"/>
        <v>125</v>
      </c>
      <c r="Q505" s="45">
        <f t="shared" si="166"/>
        <v>125</v>
      </c>
      <c r="R505" s="50">
        <f t="shared" si="166"/>
        <v>125</v>
      </c>
      <c r="S505" s="50">
        <f t="shared" si="166"/>
        <v>125</v>
      </c>
      <c r="T505" s="50">
        <f t="shared" si="166"/>
        <v>125</v>
      </c>
      <c r="U505" s="45">
        <f>J505+K505+L505+M505+O505+Q505+R505+S505+T505</f>
        <v>1124.5</v>
      </c>
      <c r="V505" s="37">
        <v>2024</v>
      </c>
      <c r="W505" s="4">
        <f t="shared" si="151"/>
        <v>0</v>
      </c>
      <c r="X505" s="4">
        <f t="shared" si="152"/>
        <v>0</v>
      </c>
      <c r="Y505" s="4"/>
      <c r="Z505" s="3"/>
    </row>
    <row r="506" spans="1:26" s="7" customFormat="1" ht="15">
      <c r="A506" s="33" t="s">
        <v>254</v>
      </c>
      <c r="B506" s="34">
        <v>1</v>
      </c>
      <c r="C506" s="34">
        <v>5</v>
      </c>
      <c r="D506" s="34">
        <v>4</v>
      </c>
      <c r="E506" s="34">
        <v>0</v>
      </c>
      <c r="F506" s="34">
        <v>2</v>
      </c>
      <c r="G506" s="34"/>
      <c r="H506" s="51" t="s">
        <v>256</v>
      </c>
      <c r="I506" s="34" t="s">
        <v>255</v>
      </c>
      <c r="J506" s="52">
        <v>125</v>
      </c>
      <c r="K506" s="52">
        <v>125</v>
      </c>
      <c r="L506" s="52">
        <v>125</v>
      </c>
      <c r="M506" s="138">
        <v>124.5</v>
      </c>
      <c r="N506" s="138">
        <v>125</v>
      </c>
      <c r="O506" s="138">
        <v>125</v>
      </c>
      <c r="P506" s="138">
        <v>125</v>
      </c>
      <c r="Q506" s="138">
        <v>125</v>
      </c>
      <c r="R506" s="138">
        <v>125</v>
      </c>
      <c r="S506" s="138">
        <v>125</v>
      </c>
      <c r="T506" s="138">
        <v>125</v>
      </c>
      <c r="U506" s="52">
        <f>J506+K506+L506+M506+O506+Q506+R506+S506+T506</f>
        <v>1124.5</v>
      </c>
      <c r="V506" s="34">
        <v>2024</v>
      </c>
      <c r="W506" s="4">
        <f t="shared" si="151"/>
        <v>0</v>
      </c>
      <c r="X506" s="4">
        <f t="shared" si="152"/>
        <v>0</v>
      </c>
      <c r="Y506" s="4"/>
      <c r="Z506" s="3"/>
    </row>
    <row r="507" spans="1:24" ht="51">
      <c r="A507" s="33" t="s">
        <v>254</v>
      </c>
      <c r="B507" s="34">
        <v>1</v>
      </c>
      <c r="C507" s="34">
        <v>5</v>
      </c>
      <c r="D507" s="34">
        <v>4</v>
      </c>
      <c r="E507" s="34">
        <v>0</v>
      </c>
      <c r="F507" s="34">
        <v>2</v>
      </c>
      <c r="G507" s="34">
        <v>3</v>
      </c>
      <c r="H507" s="39" t="s">
        <v>199</v>
      </c>
      <c r="I507" s="35" t="s">
        <v>294</v>
      </c>
      <c r="J507" s="47">
        <v>2</v>
      </c>
      <c r="K507" s="47">
        <v>2</v>
      </c>
      <c r="L507" s="47">
        <v>4</v>
      </c>
      <c r="M507" s="70">
        <v>16</v>
      </c>
      <c r="N507" s="70">
        <v>2</v>
      </c>
      <c r="O507" s="70">
        <v>2</v>
      </c>
      <c r="P507" s="70">
        <v>2</v>
      </c>
      <c r="Q507" s="70">
        <v>2</v>
      </c>
      <c r="R507" s="70">
        <v>2</v>
      </c>
      <c r="S507" s="70">
        <v>2</v>
      </c>
      <c r="T507" s="70">
        <v>2</v>
      </c>
      <c r="U507" s="47">
        <f>J507+K507+L507+M507+O507+Q507+R507+S507+T507</f>
        <v>34</v>
      </c>
      <c r="V507" s="35">
        <v>2024</v>
      </c>
      <c r="W507" s="4">
        <f t="shared" si="151"/>
        <v>0</v>
      </c>
      <c r="X507" s="4">
        <f t="shared" si="152"/>
        <v>0</v>
      </c>
    </row>
    <row r="508" spans="1:24" ht="63.75">
      <c r="A508" s="33" t="s">
        <v>254</v>
      </c>
      <c r="B508" s="34">
        <v>1</v>
      </c>
      <c r="C508" s="34">
        <v>5</v>
      </c>
      <c r="D508" s="34">
        <v>4</v>
      </c>
      <c r="E508" s="34">
        <v>0</v>
      </c>
      <c r="F508" s="34">
        <v>2</v>
      </c>
      <c r="G508" s="35"/>
      <c r="H508" s="39" t="s">
        <v>200</v>
      </c>
      <c r="I508" s="35" t="s">
        <v>294</v>
      </c>
      <c r="J508" s="47">
        <v>3</v>
      </c>
      <c r="K508" s="47">
        <v>3</v>
      </c>
      <c r="L508" s="47">
        <v>11</v>
      </c>
      <c r="M508" s="70">
        <v>22</v>
      </c>
      <c r="N508" s="70">
        <v>3</v>
      </c>
      <c r="O508" s="70">
        <v>3</v>
      </c>
      <c r="P508" s="70">
        <v>3</v>
      </c>
      <c r="Q508" s="70">
        <v>3</v>
      </c>
      <c r="R508" s="70">
        <v>3</v>
      </c>
      <c r="S508" s="70">
        <v>3</v>
      </c>
      <c r="T508" s="70">
        <v>3</v>
      </c>
      <c r="U508" s="47">
        <f>J508+K508+L508+M508+O508+Q508+R508+S508+T508</f>
        <v>54</v>
      </c>
      <c r="V508" s="35">
        <v>2024</v>
      </c>
      <c r="W508" s="4">
        <f t="shared" si="151"/>
        <v>0</v>
      </c>
      <c r="X508" s="4">
        <f t="shared" si="152"/>
        <v>0</v>
      </c>
    </row>
    <row r="509" spans="1:26" s="7" customFormat="1" ht="12.75">
      <c r="A509" s="158" t="s">
        <v>254</v>
      </c>
      <c r="B509" s="89">
        <v>1</v>
      </c>
      <c r="C509" s="89">
        <v>9</v>
      </c>
      <c r="D509" s="89">
        <v>0</v>
      </c>
      <c r="E509" s="89">
        <v>0</v>
      </c>
      <c r="F509" s="89">
        <v>0</v>
      </c>
      <c r="G509" s="89"/>
      <c r="H509" s="159" t="s">
        <v>201</v>
      </c>
      <c r="I509" s="89" t="s">
        <v>255</v>
      </c>
      <c r="J509" s="75">
        <f>J510+J511</f>
        <v>56709</v>
      </c>
      <c r="K509" s="75">
        <f>K510+K511</f>
        <v>54057.3</v>
      </c>
      <c r="L509" s="75">
        <f>L510+L511</f>
        <v>57263.9</v>
      </c>
      <c r="M509" s="62">
        <f>M510</f>
        <v>65671.6</v>
      </c>
      <c r="N509" s="62">
        <f>N510</f>
        <v>56641.9</v>
      </c>
      <c r="O509" s="75">
        <f aca="true" t="shared" si="167" ref="O509:T509">O510+O511</f>
        <v>67571.1</v>
      </c>
      <c r="P509" s="75">
        <f t="shared" si="167"/>
        <v>56580</v>
      </c>
      <c r="Q509" s="75">
        <f t="shared" si="167"/>
        <v>69066.7</v>
      </c>
      <c r="R509" s="62">
        <f t="shared" si="167"/>
        <v>71473.1</v>
      </c>
      <c r="S509" s="62">
        <f t="shared" si="167"/>
        <v>71473.1</v>
      </c>
      <c r="T509" s="62">
        <f t="shared" si="167"/>
        <v>71473.1</v>
      </c>
      <c r="U509" s="75">
        <f aca="true" t="shared" si="168" ref="U509:U515">J509+K509+L509+M509+O509+Q509+R509+S509+T509</f>
        <v>584758.9</v>
      </c>
      <c r="V509" s="89">
        <v>2024</v>
      </c>
      <c r="W509" s="4">
        <f t="shared" si="151"/>
        <v>10929.2</v>
      </c>
      <c r="X509" s="4">
        <f t="shared" si="152"/>
        <v>12486.7</v>
      </c>
      <c r="Y509" s="4"/>
      <c r="Z509" s="3"/>
    </row>
    <row r="510" spans="1:26" s="7" customFormat="1" ht="12.75">
      <c r="A510" s="33" t="s">
        <v>254</v>
      </c>
      <c r="B510" s="34">
        <v>1</v>
      </c>
      <c r="C510" s="34">
        <v>9</v>
      </c>
      <c r="D510" s="34">
        <v>0</v>
      </c>
      <c r="E510" s="34">
        <v>0</v>
      </c>
      <c r="F510" s="34">
        <v>0</v>
      </c>
      <c r="G510" s="34"/>
      <c r="H510" s="51" t="s">
        <v>256</v>
      </c>
      <c r="I510" s="34" t="s">
        <v>255</v>
      </c>
      <c r="J510" s="52">
        <f aca="true" t="shared" si="169" ref="J510:L511">J514</f>
        <v>56709</v>
      </c>
      <c r="K510" s="52">
        <f t="shared" si="169"/>
        <v>54057.3</v>
      </c>
      <c r="L510" s="52">
        <f t="shared" si="169"/>
        <v>57003</v>
      </c>
      <c r="M510" s="67">
        <f aca="true" t="shared" si="170" ref="M510:T510">M514</f>
        <v>65671.6</v>
      </c>
      <c r="N510" s="67">
        <f t="shared" si="170"/>
        <v>56641.9</v>
      </c>
      <c r="O510" s="67">
        <f t="shared" si="170"/>
        <v>67571.1</v>
      </c>
      <c r="P510" s="67">
        <f t="shared" si="170"/>
        <v>56580</v>
      </c>
      <c r="Q510" s="67">
        <f t="shared" si="170"/>
        <v>69066.7</v>
      </c>
      <c r="R510" s="67">
        <f t="shared" si="170"/>
        <v>71473.1</v>
      </c>
      <c r="S510" s="67">
        <f t="shared" si="170"/>
        <v>71473.1</v>
      </c>
      <c r="T510" s="67">
        <f t="shared" si="170"/>
        <v>71473.1</v>
      </c>
      <c r="U510" s="52">
        <f t="shared" si="168"/>
        <v>584498</v>
      </c>
      <c r="V510" s="34">
        <v>2024</v>
      </c>
      <c r="W510" s="4">
        <f t="shared" si="151"/>
        <v>10929.2</v>
      </c>
      <c r="X510" s="4">
        <f t="shared" si="152"/>
        <v>12486.7</v>
      </c>
      <c r="Y510" s="4"/>
      <c r="Z510" s="3"/>
    </row>
    <row r="511" spans="1:26" s="7" customFormat="1" ht="12.75">
      <c r="A511" s="33" t="s">
        <v>254</v>
      </c>
      <c r="B511" s="34">
        <v>1</v>
      </c>
      <c r="C511" s="34">
        <v>9</v>
      </c>
      <c r="D511" s="34">
        <v>0</v>
      </c>
      <c r="E511" s="34">
        <v>0</v>
      </c>
      <c r="F511" s="34">
        <v>0</v>
      </c>
      <c r="G511" s="34"/>
      <c r="H511" s="51" t="s">
        <v>207</v>
      </c>
      <c r="I511" s="34" t="s">
        <v>255</v>
      </c>
      <c r="J511" s="52">
        <f t="shared" si="169"/>
        <v>0</v>
      </c>
      <c r="K511" s="52">
        <f t="shared" si="169"/>
        <v>0</v>
      </c>
      <c r="L511" s="52">
        <f t="shared" si="169"/>
        <v>260.9</v>
      </c>
      <c r="M511" s="67">
        <v>0</v>
      </c>
      <c r="N511" s="67">
        <v>0</v>
      </c>
      <c r="O511" s="67">
        <v>0</v>
      </c>
      <c r="P511" s="67">
        <v>0</v>
      </c>
      <c r="Q511" s="67">
        <v>0</v>
      </c>
      <c r="R511" s="67">
        <f>R515</f>
        <v>0</v>
      </c>
      <c r="S511" s="67">
        <f>S515</f>
        <v>0</v>
      </c>
      <c r="T511" s="67">
        <f>T515</f>
        <v>0</v>
      </c>
      <c r="U511" s="52">
        <f t="shared" si="168"/>
        <v>260.9</v>
      </c>
      <c r="V511" s="34">
        <v>2018</v>
      </c>
      <c r="W511" s="4">
        <f t="shared" si="151"/>
        <v>0</v>
      </c>
      <c r="X511" s="4">
        <f t="shared" si="152"/>
        <v>0</v>
      </c>
      <c r="Y511" s="4"/>
      <c r="Z511" s="3"/>
    </row>
    <row r="512" spans="1:26" s="7" customFormat="1" ht="63.75">
      <c r="A512" s="33" t="s">
        <v>254</v>
      </c>
      <c r="B512" s="34">
        <v>1</v>
      </c>
      <c r="C512" s="34">
        <v>9</v>
      </c>
      <c r="D512" s="34">
        <v>1</v>
      </c>
      <c r="E512" s="34">
        <v>0</v>
      </c>
      <c r="F512" s="34">
        <v>0</v>
      </c>
      <c r="G512" s="34">
        <v>3</v>
      </c>
      <c r="H512" s="51" t="s">
        <v>149</v>
      </c>
      <c r="I512" s="34" t="s">
        <v>255</v>
      </c>
      <c r="J512" s="52">
        <f aca="true" t="shared" si="171" ref="J512:P512">J513</f>
        <v>56709</v>
      </c>
      <c r="K512" s="52">
        <f t="shared" si="171"/>
        <v>54057.3</v>
      </c>
      <c r="L512" s="52">
        <f t="shared" si="171"/>
        <v>57263.9</v>
      </c>
      <c r="M512" s="52">
        <f t="shared" si="171"/>
        <v>65671.6</v>
      </c>
      <c r="N512" s="52">
        <f t="shared" si="171"/>
        <v>56641.9</v>
      </c>
      <c r="O512" s="67">
        <f t="shared" si="171"/>
        <v>67571.1</v>
      </c>
      <c r="P512" s="67">
        <f t="shared" si="171"/>
        <v>56580</v>
      </c>
      <c r="Q512" s="67">
        <f>Q513</f>
        <v>69066.7</v>
      </c>
      <c r="R512" s="67">
        <f>R514</f>
        <v>71473.1</v>
      </c>
      <c r="S512" s="67">
        <f>S514</f>
        <v>71473.1</v>
      </c>
      <c r="T512" s="67">
        <f>T514</f>
        <v>71473.1</v>
      </c>
      <c r="U512" s="52">
        <f t="shared" si="168"/>
        <v>584758.9</v>
      </c>
      <c r="V512" s="34">
        <v>2024</v>
      </c>
      <c r="W512" s="4">
        <f t="shared" si="151"/>
        <v>10929.2</v>
      </c>
      <c r="X512" s="4">
        <f t="shared" si="152"/>
        <v>12486.7</v>
      </c>
      <c r="Y512" s="4"/>
      <c r="Z512" s="3"/>
    </row>
    <row r="513" spans="1:26" s="7" customFormat="1" ht="38.25">
      <c r="A513" s="36" t="s">
        <v>254</v>
      </c>
      <c r="B513" s="37">
        <v>1</v>
      </c>
      <c r="C513" s="37">
        <v>9</v>
      </c>
      <c r="D513" s="37">
        <v>1</v>
      </c>
      <c r="E513" s="37">
        <v>0</v>
      </c>
      <c r="F513" s="37">
        <v>1</v>
      </c>
      <c r="G513" s="37"/>
      <c r="H513" s="49" t="s">
        <v>60</v>
      </c>
      <c r="I513" s="37" t="s">
        <v>255</v>
      </c>
      <c r="J513" s="45">
        <f aca="true" t="shared" si="172" ref="J513:T513">J514+J515</f>
        <v>56709</v>
      </c>
      <c r="K513" s="45">
        <f t="shared" si="172"/>
        <v>54057.3</v>
      </c>
      <c r="L513" s="45">
        <f t="shared" si="172"/>
        <v>57263.9</v>
      </c>
      <c r="M513" s="50">
        <f t="shared" si="172"/>
        <v>65671.6</v>
      </c>
      <c r="N513" s="50">
        <f t="shared" si="172"/>
        <v>56641.9</v>
      </c>
      <c r="O513" s="50">
        <f t="shared" si="172"/>
        <v>67571.1</v>
      </c>
      <c r="P513" s="50">
        <f t="shared" si="172"/>
        <v>56580</v>
      </c>
      <c r="Q513" s="50">
        <f t="shared" si="172"/>
        <v>69066.7</v>
      </c>
      <c r="R513" s="50">
        <f t="shared" si="172"/>
        <v>71473.1</v>
      </c>
      <c r="S513" s="50">
        <f t="shared" si="172"/>
        <v>71473.1</v>
      </c>
      <c r="T513" s="50">
        <f t="shared" si="172"/>
        <v>71473.1</v>
      </c>
      <c r="U513" s="45">
        <f>J513+K513+L513+M513+O513+Q513+R513+S513+T513</f>
        <v>584758.9</v>
      </c>
      <c r="V513" s="37">
        <v>2024</v>
      </c>
      <c r="W513" s="4">
        <f t="shared" si="151"/>
        <v>10929.2</v>
      </c>
      <c r="X513" s="4">
        <f t="shared" si="152"/>
        <v>12486.7</v>
      </c>
      <c r="Y513" s="4"/>
      <c r="Z513" s="3"/>
    </row>
    <row r="514" spans="1:26" s="7" customFormat="1" ht="12.75">
      <c r="A514" s="33" t="s">
        <v>254</v>
      </c>
      <c r="B514" s="34">
        <v>1</v>
      </c>
      <c r="C514" s="34">
        <v>9</v>
      </c>
      <c r="D514" s="34">
        <v>1</v>
      </c>
      <c r="E514" s="34">
        <v>0</v>
      </c>
      <c r="F514" s="34">
        <v>1</v>
      </c>
      <c r="G514" s="34"/>
      <c r="H514" s="51" t="s">
        <v>256</v>
      </c>
      <c r="I514" s="34" t="s">
        <v>255</v>
      </c>
      <c r="J514" s="133">
        <v>56709</v>
      </c>
      <c r="K514" s="133">
        <v>54057.3</v>
      </c>
      <c r="L514" s="133">
        <v>57003</v>
      </c>
      <c r="M514" s="76">
        <v>65671.6</v>
      </c>
      <c r="N514" s="76">
        <v>56641.9</v>
      </c>
      <c r="O514" s="76">
        <v>67571.1</v>
      </c>
      <c r="P514" s="76">
        <v>56580</v>
      </c>
      <c r="Q514" s="76">
        <v>69066.7</v>
      </c>
      <c r="R514" s="76">
        <v>71473.1</v>
      </c>
      <c r="S514" s="76">
        <v>71473.1</v>
      </c>
      <c r="T514" s="76">
        <v>71473.1</v>
      </c>
      <c r="U514" s="52">
        <f t="shared" si="168"/>
        <v>584498</v>
      </c>
      <c r="V514" s="34">
        <v>2024</v>
      </c>
      <c r="W514" s="4">
        <f t="shared" si="151"/>
        <v>10929.2</v>
      </c>
      <c r="X514" s="4">
        <f t="shared" si="152"/>
        <v>12486.7</v>
      </c>
      <c r="Y514" s="4"/>
      <c r="Z514" s="3"/>
    </row>
    <row r="515" spans="1:26" s="7" customFormat="1" ht="12.75">
      <c r="A515" s="33" t="s">
        <v>254</v>
      </c>
      <c r="B515" s="34">
        <v>1</v>
      </c>
      <c r="C515" s="34">
        <v>9</v>
      </c>
      <c r="D515" s="34">
        <v>1</v>
      </c>
      <c r="E515" s="34">
        <v>0</v>
      </c>
      <c r="F515" s="34">
        <v>1</v>
      </c>
      <c r="G515" s="34"/>
      <c r="H515" s="51" t="s">
        <v>207</v>
      </c>
      <c r="I515" s="34" t="s">
        <v>255</v>
      </c>
      <c r="J515" s="133">
        <v>0</v>
      </c>
      <c r="K515" s="133">
        <v>0</v>
      </c>
      <c r="L515" s="133">
        <v>260.9</v>
      </c>
      <c r="M515" s="76">
        <v>0</v>
      </c>
      <c r="N515" s="76">
        <v>0</v>
      </c>
      <c r="O515" s="76">
        <v>0</v>
      </c>
      <c r="P515" s="76">
        <v>0</v>
      </c>
      <c r="Q515" s="76">
        <v>0</v>
      </c>
      <c r="R515" s="76">
        <v>0</v>
      </c>
      <c r="S515" s="76">
        <v>0</v>
      </c>
      <c r="T515" s="76">
        <v>0</v>
      </c>
      <c r="U515" s="52">
        <f t="shared" si="168"/>
        <v>260.9</v>
      </c>
      <c r="V515" s="34">
        <v>2018</v>
      </c>
      <c r="W515" s="4">
        <f t="shared" si="151"/>
        <v>0</v>
      </c>
      <c r="X515" s="4">
        <f t="shared" si="152"/>
        <v>0</v>
      </c>
      <c r="Y515" s="4"/>
      <c r="Z515" s="3"/>
    </row>
    <row r="516" spans="1:26" s="7" customFormat="1" ht="12.75">
      <c r="A516" s="33" t="s">
        <v>254</v>
      </c>
      <c r="B516" s="34">
        <v>1</v>
      </c>
      <c r="C516" s="34">
        <v>9</v>
      </c>
      <c r="D516" s="34">
        <v>2</v>
      </c>
      <c r="E516" s="34">
        <v>0</v>
      </c>
      <c r="F516" s="34">
        <v>0</v>
      </c>
      <c r="G516" s="34"/>
      <c r="H516" s="51" t="s">
        <v>209</v>
      </c>
      <c r="I516" s="34"/>
      <c r="J516" s="52"/>
      <c r="K516" s="52"/>
      <c r="L516" s="52"/>
      <c r="M516" s="67"/>
      <c r="N516" s="67"/>
      <c r="O516" s="67"/>
      <c r="P516" s="67"/>
      <c r="Q516" s="67"/>
      <c r="R516" s="67"/>
      <c r="S516" s="67"/>
      <c r="T516" s="67"/>
      <c r="U516" s="52"/>
      <c r="V516" s="34"/>
      <c r="W516" s="4">
        <f t="shared" si="151"/>
        <v>0</v>
      </c>
      <c r="X516" s="4">
        <f t="shared" si="152"/>
        <v>0</v>
      </c>
      <c r="Y516" s="4"/>
      <c r="Z516" s="3"/>
    </row>
    <row r="517" spans="1:24" ht="63.75">
      <c r="A517" s="36" t="s">
        <v>254</v>
      </c>
      <c r="B517" s="37">
        <v>1</v>
      </c>
      <c r="C517" s="37">
        <v>9</v>
      </c>
      <c r="D517" s="37">
        <v>2</v>
      </c>
      <c r="E517" s="37">
        <v>0</v>
      </c>
      <c r="F517" s="37">
        <v>1</v>
      </c>
      <c r="G517" s="38"/>
      <c r="H517" s="43" t="s">
        <v>136</v>
      </c>
      <c r="I517" s="38" t="s">
        <v>279</v>
      </c>
      <c r="J517" s="44" t="s">
        <v>280</v>
      </c>
      <c r="K517" s="44" t="s">
        <v>280</v>
      </c>
      <c r="L517" s="44" t="s">
        <v>280</v>
      </c>
      <c r="M517" s="46" t="s">
        <v>280</v>
      </c>
      <c r="N517" s="46" t="s">
        <v>280</v>
      </c>
      <c r="O517" s="44" t="s">
        <v>280</v>
      </c>
      <c r="P517" s="44" t="s">
        <v>280</v>
      </c>
      <c r="Q517" s="44" t="s">
        <v>280</v>
      </c>
      <c r="R517" s="46" t="s">
        <v>280</v>
      </c>
      <c r="S517" s="46" t="s">
        <v>280</v>
      </c>
      <c r="T517" s="46" t="s">
        <v>280</v>
      </c>
      <c r="U517" s="44" t="s">
        <v>280</v>
      </c>
      <c r="V517" s="38">
        <v>2024</v>
      </c>
      <c r="W517" s="4"/>
      <c r="X517" s="4"/>
    </row>
    <row r="518" spans="1:24" ht="51">
      <c r="A518" s="33" t="s">
        <v>254</v>
      </c>
      <c r="B518" s="34">
        <v>1</v>
      </c>
      <c r="C518" s="34">
        <v>9</v>
      </c>
      <c r="D518" s="34">
        <v>2</v>
      </c>
      <c r="E518" s="34">
        <v>0</v>
      </c>
      <c r="F518" s="34">
        <v>1</v>
      </c>
      <c r="G518" s="35"/>
      <c r="H518" s="39" t="s">
        <v>202</v>
      </c>
      <c r="I518" s="35" t="s">
        <v>294</v>
      </c>
      <c r="J518" s="47">
        <v>10</v>
      </c>
      <c r="K518" s="47">
        <v>10</v>
      </c>
      <c r="L518" s="47">
        <v>10</v>
      </c>
      <c r="M518" s="70">
        <v>10</v>
      </c>
      <c r="N518" s="70">
        <v>10</v>
      </c>
      <c r="O518" s="70">
        <v>10</v>
      </c>
      <c r="P518" s="70">
        <v>10</v>
      </c>
      <c r="Q518" s="70">
        <v>10</v>
      </c>
      <c r="R518" s="70">
        <v>10</v>
      </c>
      <c r="S518" s="70">
        <v>10</v>
      </c>
      <c r="T518" s="70">
        <v>10</v>
      </c>
      <c r="U518" s="47">
        <f>J518+K518+L518+M518+O518+Q518+R518+S518+T518</f>
        <v>90</v>
      </c>
      <c r="V518" s="35">
        <v>2024</v>
      </c>
      <c r="W518" s="4">
        <f t="shared" si="151"/>
        <v>0</v>
      </c>
      <c r="X518" s="4">
        <f t="shared" si="152"/>
        <v>0</v>
      </c>
    </row>
    <row r="519" spans="1:24" ht="38.25">
      <c r="A519" s="36" t="s">
        <v>254</v>
      </c>
      <c r="B519" s="37">
        <v>1</v>
      </c>
      <c r="C519" s="37">
        <v>9</v>
      </c>
      <c r="D519" s="37">
        <v>2</v>
      </c>
      <c r="E519" s="37">
        <v>0</v>
      </c>
      <c r="F519" s="37">
        <v>2</v>
      </c>
      <c r="G519" s="38"/>
      <c r="H519" s="43" t="s">
        <v>61</v>
      </c>
      <c r="I519" s="38" t="s">
        <v>279</v>
      </c>
      <c r="J519" s="44" t="s">
        <v>280</v>
      </c>
      <c r="K519" s="44" t="s">
        <v>280</v>
      </c>
      <c r="L519" s="44" t="s">
        <v>280</v>
      </c>
      <c r="M519" s="46" t="s">
        <v>280</v>
      </c>
      <c r="N519" s="46" t="s">
        <v>280</v>
      </c>
      <c r="O519" s="44" t="s">
        <v>280</v>
      </c>
      <c r="P519" s="44" t="s">
        <v>280</v>
      </c>
      <c r="Q519" s="44" t="s">
        <v>280</v>
      </c>
      <c r="R519" s="46" t="s">
        <v>280</v>
      </c>
      <c r="S519" s="46" t="s">
        <v>280</v>
      </c>
      <c r="T519" s="46" t="s">
        <v>280</v>
      </c>
      <c r="U519" s="44" t="s">
        <v>280</v>
      </c>
      <c r="V519" s="38">
        <v>2024</v>
      </c>
      <c r="W519" s="4"/>
      <c r="X519" s="4"/>
    </row>
    <row r="520" spans="1:24" ht="38.25">
      <c r="A520" s="33" t="s">
        <v>254</v>
      </c>
      <c r="B520" s="34">
        <v>1</v>
      </c>
      <c r="C520" s="34">
        <v>9</v>
      </c>
      <c r="D520" s="34">
        <v>2</v>
      </c>
      <c r="E520" s="34">
        <v>0</v>
      </c>
      <c r="F520" s="34">
        <v>2</v>
      </c>
      <c r="G520" s="35"/>
      <c r="H520" s="39" t="s">
        <v>203</v>
      </c>
      <c r="I520" s="35" t="s">
        <v>283</v>
      </c>
      <c r="J520" s="47">
        <v>4</v>
      </c>
      <c r="K520" s="47">
        <v>3</v>
      </c>
      <c r="L520" s="47">
        <v>9</v>
      </c>
      <c r="M520" s="70">
        <v>4</v>
      </c>
      <c r="N520" s="70">
        <v>3</v>
      </c>
      <c r="O520" s="70">
        <v>3</v>
      </c>
      <c r="P520" s="70">
        <v>3</v>
      </c>
      <c r="Q520" s="70">
        <v>3</v>
      </c>
      <c r="R520" s="70">
        <v>4</v>
      </c>
      <c r="S520" s="70">
        <v>4</v>
      </c>
      <c r="T520" s="70">
        <v>4</v>
      </c>
      <c r="U520" s="47">
        <f>J520+K520+L520+M520+O520+Q520+R520+S520+T520</f>
        <v>38</v>
      </c>
      <c r="V520" s="35">
        <v>2024</v>
      </c>
      <c r="W520" s="4">
        <f t="shared" si="151"/>
        <v>0</v>
      </c>
      <c r="X520" s="4">
        <f t="shared" si="152"/>
        <v>0</v>
      </c>
    </row>
    <row r="521" spans="1:24" ht="89.25">
      <c r="A521" s="36" t="s">
        <v>254</v>
      </c>
      <c r="B521" s="37">
        <v>1</v>
      </c>
      <c r="C521" s="37">
        <v>9</v>
      </c>
      <c r="D521" s="37">
        <v>2</v>
      </c>
      <c r="E521" s="37">
        <v>0</v>
      </c>
      <c r="F521" s="37">
        <v>3</v>
      </c>
      <c r="G521" s="38"/>
      <c r="H521" s="43" t="s">
        <v>62</v>
      </c>
      <c r="I521" s="38" t="s">
        <v>279</v>
      </c>
      <c r="J521" s="44" t="s">
        <v>280</v>
      </c>
      <c r="K521" s="44" t="s">
        <v>280</v>
      </c>
      <c r="L521" s="44" t="s">
        <v>280</v>
      </c>
      <c r="M521" s="46" t="s">
        <v>280</v>
      </c>
      <c r="N521" s="46" t="s">
        <v>280</v>
      </c>
      <c r="O521" s="44" t="s">
        <v>280</v>
      </c>
      <c r="P521" s="44" t="s">
        <v>280</v>
      </c>
      <c r="Q521" s="44" t="s">
        <v>280</v>
      </c>
      <c r="R521" s="46" t="s">
        <v>280</v>
      </c>
      <c r="S521" s="46" t="s">
        <v>280</v>
      </c>
      <c r="T521" s="46" t="s">
        <v>280</v>
      </c>
      <c r="U521" s="44" t="s">
        <v>280</v>
      </c>
      <c r="V521" s="38">
        <v>2024</v>
      </c>
      <c r="W521" s="4"/>
      <c r="X521" s="4"/>
    </row>
    <row r="522" spans="1:24" ht="25.5">
      <c r="A522" s="33" t="s">
        <v>254</v>
      </c>
      <c r="B522" s="34">
        <v>1</v>
      </c>
      <c r="C522" s="34">
        <v>9</v>
      </c>
      <c r="D522" s="34">
        <v>2</v>
      </c>
      <c r="E522" s="34">
        <v>0</v>
      </c>
      <c r="F522" s="34">
        <v>3</v>
      </c>
      <c r="G522" s="35"/>
      <c r="H522" s="39" t="s">
        <v>204</v>
      </c>
      <c r="I522" s="35" t="s">
        <v>294</v>
      </c>
      <c r="J522" s="47">
        <v>25</v>
      </c>
      <c r="K522" s="47">
        <v>25</v>
      </c>
      <c r="L522" s="48">
        <v>45</v>
      </c>
      <c r="M522" s="48">
        <v>45</v>
      </c>
      <c r="N522" s="48">
        <v>25</v>
      </c>
      <c r="O522" s="47">
        <v>25</v>
      </c>
      <c r="P522" s="47">
        <v>25</v>
      </c>
      <c r="Q522" s="70">
        <v>25</v>
      </c>
      <c r="R522" s="70">
        <v>25</v>
      </c>
      <c r="S522" s="70">
        <v>25</v>
      </c>
      <c r="T522" s="70">
        <v>25</v>
      </c>
      <c r="U522" s="47">
        <f>J522+K522+L522+M522+O522+Q522+R522+S522+T522</f>
        <v>265</v>
      </c>
      <c r="V522" s="35">
        <v>2024</v>
      </c>
      <c r="W522" s="4">
        <f>O522-N522</f>
        <v>0</v>
      </c>
      <c r="X522" s="4">
        <f>Q522-P522</f>
        <v>0</v>
      </c>
    </row>
    <row r="523" spans="1:22" ht="12.75">
      <c r="A523" s="11"/>
      <c r="B523" s="11"/>
      <c r="C523" s="11"/>
      <c r="D523" s="11"/>
      <c r="E523" s="11"/>
      <c r="F523" s="11"/>
      <c r="G523" s="11"/>
      <c r="H523" s="12"/>
      <c r="I523" s="13"/>
      <c r="J523" s="14"/>
      <c r="K523" s="139"/>
      <c r="M523" s="141"/>
      <c r="N523" s="141"/>
      <c r="O523" s="141"/>
      <c r="P523" s="141"/>
      <c r="Q523" s="141"/>
      <c r="R523" s="141"/>
      <c r="S523" s="141"/>
      <c r="T523" s="141"/>
      <c r="U523" s="139"/>
      <c r="V523" s="142"/>
    </row>
    <row r="524" spans="1:22" ht="12.75">
      <c r="A524" s="11"/>
      <c r="B524" s="11"/>
      <c r="C524" s="11"/>
      <c r="D524" s="11"/>
      <c r="E524" s="11"/>
      <c r="F524" s="11"/>
      <c r="G524" s="11"/>
      <c r="H524" s="15"/>
      <c r="I524" s="13"/>
      <c r="J524" s="14"/>
      <c r="K524" s="139"/>
      <c r="L524" s="139"/>
      <c r="M524" s="141"/>
      <c r="N524" s="141"/>
      <c r="O524" s="141"/>
      <c r="P524" s="141"/>
      <c r="Q524" s="141"/>
      <c r="R524" s="141"/>
      <c r="S524" s="141"/>
      <c r="T524" s="141"/>
      <c r="V524" s="143"/>
    </row>
    <row r="525" spans="1:22" ht="15.75">
      <c r="A525" s="205"/>
      <c r="B525" s="205"/>
      <c r="C525" s="205"/>
      <c r="D525" s="205"/>
      <c r="E525" s="205"/>
      <c r="F525" s="205"/>
      <c r="G525" s="205"/>
      <c r="H525" s="15"/>
      <c r="I525" s="16"/>
      <c r="J525" s="13"/>
      <c r="K525" s="142"/>
      <c r="L525" s="144"/>
      <c r="M525" s="141"/>
      <c r="N525" s="141"/>
      <c r="O525" s="141"/>
      <c r="P525" s="141"/>
      <c r="Q525" s="141"/>
      <c r="R525" s="141"/>
      <c r="S525" s="141"/>
      <c r="T525" s="141"/>
      <c r="V525" s="143"/>
    </row>
    <row r="526" spans="1:22" ht="15.75">
      <c r="A526" s="205"/>
      <c r="B526" s="205"/>
      <c r="C526" s="205"/>
      <c r="D526" s="205"/>
      <c r="E526" s="205"/>
      <c r="F526" s="205"/>
      <c r="G526" s="205"/>
      <c r="H526" s="17"/>
      <c r="I526" s="16"/>
      <c r="J526" s="13"/>
      <c r="K526" s="142"/>
      <c r="L526" s="139"/>
      <c r="M526" s="145"/>
      <c r="N526" s="145"/>
      <c r="O526" s="145"/>
      <c r="P526" s="145"/>
      <c r="Q526" s="145"/>
      <c r="R526" s="145"/>
      <c r="S526" s="145"/>
      <c r="T526" s="145"/>
      <c r="V526" s="143"/>
    </row>
    <row r="527" spans="1:22" ht="12.75">
      <c r="A527" s="18"/>
      <c r="B527" s="18"/>
      <c r="C527" s="18"/>
      <c r="D527" s="18"/>
      <c r="E527" s="18"/>
      <c r="F527" s="18"/>
      <c r="G527" s="19"/>
      <c r="H527" s="17"/>
      <c r="I527" s="16"/>
      <c r="J527" s="13"/>
      <c r="K527" s="142"/>
      <c r="L527" s="139"/>
      <c r="M527" s="145"/>
      <c r="N527" s="145"/>
      <c r="O527" s="145"/>
      <c r="P527" s="145"/>
      <c r="Q527" s="145"/>
      <c r="R527" s="145"/>
      <c r="S527" s="145"/>
      <c r="T527" s="145"/>
      <c r="V527" s="143"/>
    </row>
    <row r="528" spans="1:22" ht="12.75">
      <c r="A528" s="18"/>
      <c r="B528" s="18"/>
      <c r="C528" s="18"/>
      <c r="D528" s="18"/>
      <c r="E528" s="18"/>
      <c r="F528" s="18"/>
      <c r="G528" s="19"/>
      <c r="H528" s="17"/>
      <c r="I528" s="16"/>
      <c r="J528" s="13"/>
      <c r="K528" s="142"/>
      <c r="M528" s="145"/>
      <c r="N528" s="145"/>
      <c r="O528" s="145"/>
      <c r="P528" s="145"/>
      <c r="Q528" s="145"/>
      <c r="R528" s="145"/>
      <c r="S528" s="145"/>
      <c r="T528" s="145"/>
      <c r="V528" s="143"/>
    </row>
    <row r="529" ht="12.75">
      <c r="V529" s="143"/>
    </row>
    <row r="530" spans="12:22" ht="12.75">
      <c r="L530" s="142"/>
      <c r="V530" s="143"/>
    </row>
    <row r="531" spans="12:22" ht="12.75">
      <c r="L531" s="142"/>
      <c r="V531" s="143"/>
    </row>
    <row r="532" ht="12.75">
      <c r="V532" s="143"/>
    </row>
    <row r="533" ht="12.75">
      <c r="V533" s="143"/>
    </row>
    <row r="534" ht="12.75">
      <c r="V534" s="143"/>
    </row>
    <row r="535" ht="12.75">
      <c r="V535" s="143"/>
    </row>
    <row r="536" ht="12.75">
      <c r="V536" s="143"/>
    </row>
    <row r="537" ht="12.75">
      <c r="V537" s="143"/>
    </row>
    <row r="538" ht="12.75">
      <c r="V538" s="143"/>
    </row>
    <row r="539" ht="12.75">
      <c r="V539" s="143"/>
    </row>
    <row r="540" ht="12.75">
      <c r="V540" s="143"/>
    </row>
    <row r="541" ht="12.75">
      <c r="V541" s="143"/>
    </row>
    <row r="542" ht="12.75">
      <c r="V542" s="143"/>
    </row>
    <row r="543" ht="12.75">
      <c r="V543" s="143"/>
    </row>
    <row r="544" ht="12.75">
      <c r="V544" s="143"/>
    </row>
    <row r="545" ht="12.75">
      <c r="V545" s="143"/>
    </row>
    <row r="546" ht="12.75">
      <c r="V546" s="143"/>
    </row>
    <row r="547" ht="12.75">
      <c r="V547" s="143"/>
    </row>
    <row r="548" ht="12.75">
      <c r="V548" s="143"/>
    </row>
    <row r="549" ht="12.75">
      <c r="V549" s="143"/>
    </row>
    <row r="550" ht="12.75">
      <c r="V550" s="143"/>
    </row>
    <row r="551" spans="21:27" ht="12.75">
      <c r="U551" s="143"/>
      <c r="V551" s="143"/>
      <c r="AA551" s="1"/>
    </row>
    <row r="552" spans="21:27" ht="12.75">
      <c r="U552" s="143"/>
      <c r="V552" s="143"/>
      <c r="AA552" s="1"/>
    </row>
    <row r="553" spans="21:27" ht="12.75">
      <c r="U553" s="143"/>
      <c r="V553" s="143"/>
      <c r="AA553" s="1"/>
    </row>
    <row r="554" spans="21:27" ht="12.75">
      <c r="U554" s="143"/>
      <c r="V554" s="143"/>
      <c r="AA554" s="1"/>
    </row>
    <row r="555" spans="21:27" ht="12.75">
      <c r="U555" s="143"/>
      <c r="V555" s="143"/>
      <c r="AA555" s="1"/>
    </row>
    <row r="556" spans="21:27" ht="12.75">
      <c r="U556" s="143"/>
      <c r="V556" s="143"/>
      <c r="AA556" s="1"/>
    </row>
    <row r="557" spans="21:27" ht="12.75">
      <c r="U557" s="143"/>
      <c r="V557" s="143"/>
      <c r="AA557" s="1"/>
    </row>
    <row r="558" spans="21:27" ht="12.75">
      <c r="U558" s="143"/>
      <c r="V558" s="143"/>
      <c r="AA558" s="1"/>
    </row>
    <row r="559" spans="21:27" ht="12.75">
      <c r="U559" s="143"/>
      <c r="V559" s="143"/>
      <c r="AA559" s="1"/>
    </row>
    <row r="560" spans="21:27" ht="12.75">
      <c r="U560" s="143"/>
      <c r="V560" s="143"/>
      <c r="AA560" s="1"/>
    </row>
    <row r="561" spans="21:27" ht="12.75">
      <c r="U561" s="143"/>
      <c r="V561" s="143"/>
      <c r="AA561" s="1"/>
    </row>
    <row r="562" spans="21:27" ht="12.75">
      <c r="U562" s="143"/>
      <c r="V562" s="143"/>
      <c r="AA562" s="1"/>
    </row>
    <row r="563" spans="21:27" ht="12.75">
      <c r="U563" s="143"/>
      <c r="V563" s="143"/>
      <c r="AA563" s="1"/>
    </row>
    <row r="564" spans="21:27" ht="12.75">
      <c r="U564" s="143"/>
      <c r="V564" s="143"/>
      <c r="AA564" s="1"/>
    </row>
    <row r="565" spans="21:27" ht="12.75">
      <c r="U565" s="143"/>
      <c r="V565" s="143"/>
      <c r="AA565" s="1"/>
    </row>
    <row r="566" spans="21:27" ht="12.75">
      <c r="U566" s="143"/>
      <c r="V566" s="143"/>
      <c r="AA566" s="1"/>
    </row>
    <row r="567" spans="21:27" ht="12.75">
      <c r="U567" s="143"/>
      <c r="V567" s="143"/>
      <c r="AA567" s="1"/>
    </row>
    <row r="568" spans="21:27" ht="12.75">
      <c r="U568" s="143"/>
      <c r="V568" s="143"/>
      <c r="AA568" s="1"/>
    </row>
    <row r="569" spans="21:27" ht="12.75">
      <c r="U569" s="143"/>
      <c r="V569" s="143"/>
      <c r="AA569" s="1"/>
    </row>
    <row r="570" spans="21:27" ht="12.75">
      <c r="U570" s="143"/>
      <c r="V570" s="143"/>
      <c r="AA570" s="1"/>
    </row>
    <row r="571" spans="21:27" ht="12.75">
      <c r="U571" s="143"/>
      <c r="V571" s="143"/>
      <c r="AA571" s="1"/>
    </row>
    <row r="572" spans="21:27" ht="12.75">
      <c r="U572" s="143"/>
      <c r="V572" s="143"/>
      <c r="AA572" s="1"/>
    </row>
    <row r="573" spans="21:27" ht="12.75">
      <c r="U573" s="143"/>
      <c r="V573" s="143"/>
      <c r="AA573" s="1"/>
    </row>
    <row r="574" spans="21:27" ht="12.75">
      <c r="U574" s="143"/>
      <c r="V574" s="143"/>
      <c r="AA574" s="1"/>
    </row>
    <row r="575" spans="21:27" ht="12.75">
      <c r="U575" s="143"/>
      <c r="V575" s="143"/>
      <c r="AA575" s="1"/>
    </row>
    <row r="576" spans="21:27" ht="12.75">
      <c r="U576" s="143"/>
      <c r="V576" s="143"/>
      <c r="AA576" s="1"/>
    </row>
    <row r="577" spans="21:27" ht="12.75">
      <c r="U577" s="143"/>
      <c r="V577" s="143"/>
      <c r="AA577" s="1"/>
    </row>
    <row r="578" spans="21:27" ht="12.75">
      <c r="U578" s="143"/>
      <c r="V578" s="143"/>
      <c r="AA578" s="1"/>
    </row>
    <row r="579" spans="21:27" ht="12.75">
      <c r="U579" s="143"/>
      <c r="V579" s="143"/>
      <c r="AA579" s="1"/>
    </row>
    <row r="580" spans="21:27" ht="12.75">
      <c r="U580" s="143"/>
      <c r="V580" s="143"/>
      <c r="AA580" s="1"/>
    </row>
    <row r="581" spans="21:27" ht="12.75">
      <c r="U581" s="143"/>
      <c r="V581" s="143"/>
      <c r="AA581" s="1"/>
    </row>
    <row r="582" spans="21:27" ht="12.75">
      <c r="U582" s="143"/>
      <c r="V582" s="143"/>
      <c r="AA582" s="1"/>
    </row>
    <row r="583" spans="21:27" ht="12.75">
      <c r="U583" s="143"/>
      <c r="V583" s="143"/>
      <c r="AA583" s="1"/>
    </row>
    <row r="584" spans="21:27" ht="12.75">
      <c r="U584" s="143"/>
      <c r="V584" s="143"/>
      <c r="AA584" s="1"/>
    </row>
    <row r="585" spans="21:27" ht="12.75">
      <c r="U585" s="143"/>
      <c r="V585" s="143"/>
      <c r="AA585" s="1"/>
    </row>
    <row r="586" spans="21:27" ht="12.75">
      <c r="U586" s="143"/>
      <c r="V586" s="143"/>
      <c r="AA586" s="1"/>
    </row>
    <row r="587" spans="21:27" ht="12.75">
      <c r="U587" s="143"/>
      <c r="V587" s="143"/>
      <c r="AA587" s="1"/>
    </row>
    <row r="588" spans="21:27" ht="12.75">
      <c r="U588" s="143"/>
      <c r="V588" s="143"/>
      <c r="AA588" s="1"/>
    </row>
    <row r="589" spans="21:27" ht="12.75">
      <c r="U589" s="143"/>
      <c r="V589" s="143"/>
      <c r="AA589" s="1"/>
    </row>
    <row r="590" spans="21:27" ht="12.75">
      <c r="U590" s="143"/>
      <c r="V590" s="143"/>
      <c r="AA590" s="1"/>
    </row>
    <row r="591" spans="21:27" ht="12.75">
      <c r="U591" s="143"/>
      <c r="V591" s="143"/>
      <c r="AA591" s="1"/>
    </row>
    <row r="592" spans="21:27" ht="12.75">
      <c r="U592" s="143"/>
      <c r="V592" s="143"/>
      <c r="AA592" s="1"/>
    </row>
    <row r="593" spans="21:27" ht="12.75">
      <c r="U593" s="143"/>
      <c r="V593" s="143"/>
      <c r="AA593" s="1"/>
    </row>
    <row r="594" spans="21:27" ht="12.75">
      <c r="U594" s="143"/>
      <c r="V594" s="143"/>
      <c r="AA594" s="1"/>
    </row>
    <row r="595" spans="21:27" ht="12.75">
      <c r="U595" s="143"/>
      <c r="V595" s="143"/>
      <c r="AA595" s="1"/>
    </row>
    <row r="596" spans="21:27" ht="12.75">
      <c r="U596" s="143"/>
      <c r="V596" s="143"/>
      <c r="AA596" s="1"/>
    </row>
    <row r="597" spans="21:27" ht="12.75">
      <c r="U597" s="143"/>
      <c r="V597" s="143"/>
      <c r="AA597" s="1"/>
    </row>
    <row r="598" spans="21:27" ht="12.75">
      <c r="U598" s="143"/>
      <c r="V598" s="143"/>
      <c r="AA598" s="1"/>
    </row>
    <row r="599" spans="21:27" ht="12.75">
      <c r="U599" s="143"/>
      <c r="V599" s="143"/>
      <c r="AA599" s="1"/>
    </row>
    <row r="600" spans="21:27" ht="12.75">
      <c r="U600" s="143"/>
      <c r="V600" s="143"/>
      <c r="AA600" s="1"/>
    </row>
    <row r="601" spans="21:27" ht="12.75">
      <c r="U601" s="143"/>
      <c r="V601" s="143"/>
      <c r="AA601" s="1"/>
    </row>
    <row r="602" spans="21:27" ht="12.75">
      <c r="U602" s="143"/>
      <c r="V602" s="143"/>
      <c r="AA602" s="1"/>
    </row>
    <row r="603" spans="21:27" ht="12.75">
      <c r="U603" s="143"/>
      <c r="V603" s="143"/>
      <c r="AA603" s="1"/>
    </row>
    <row r="604" spans="21:27" ht="12.75">
      <c r="U604" s="143"/>
      <c r="V604" s="143"/>
      <c r="AA604" s="1"/>
    </row>
    <row r="605" spans="21:27" ht="12.75">
      <c r="U605" s="143"/>
      <c r="V605" s="143"/>
      <c r="AA605" s="1"/>
    </row>
    <row r="606" spans="21:27" ht="12.75">
      <c r="U606" s="143"/>
      <c r="V606" s="143"/>
      <c r="AA606" s="1"/>
    </row>
    <row r="607" spans="21:27" ht="12.75">
      <c r="U607" s="143"/>
      <c r="V607" s="143"/>
      <c r="AA607" s="1"/>
    </row>
    <row r="608" spans="21:27" ht="12.75">
      <c r="U608" s="143"/>
      <c r="V608" s="143"/>
      <c r="AA608" s="1"/>
    </row>
    <row r="609" spans="21:27" ht="12.75">
      <c r="U609" s="143"/>
      <c r="V609" s="143"/>
      <c r="AA609" s="1"/>
    </row>
    <row r="610" spans="21:27" ht="12.75">
      <c r="U610" s="143"/>
      <c r="V610" s="143"/>
      <c r="AA610" s="1"/>
    </row>
    <row r="611" spans="21:27" ht="12.75">
      <c r="U611" s="143"/>
      <c r="V611" s="143"/>
      <c r="AA611" s="1"/>
    </row>
    <row r="612" spans="21:27" ht="12.75">
      <c r="U612" s="143"/>
      <c r="V612" s="143"/>
      <c r="AA612" s="1"/>
    </row>
    <row r="613" spans="21:27" ht="12.75">
      <c r="U613" s="143"/>
      <c r="V613" s="143"/>
      <c r="AA613" s="1"/>
    </row>
    <row r="614" spans="21:27" ht="12.75">
      <c r="U614" s="143"/>
      <c r="V614" s="143"/>
      <c r="AA614" s="1"/>
    </row>
    <row r="615" spans="21:27" ht="12.75">
      <c r="U615" s="143"/>
      <c r="V615" s="143"/>
      <c r="AA615" s="1"/>
    </row>
    <row r="616" spans="21:27" ht="12.75">
      <c r="U616" s="143"/>
      <c r="V616" s="143"/>
      <c r="AA616" s="1"/>
    </row>
    <row r="617" spans="21:27" ht="12.75">
      <c r="U617" s="143"/>
      <c r="V617" s="143"/>
      <c r="AA617" s="1"/>
    </row>
    <row r="618" spans="21:27" ht="12.75">
      <c r="U618" s="143"/>
      <c r="V618" s="143"/>
      <c r="AA618" s="1"/>
    </row>
    <row r="619" spans="21:27" ht="12.75">
      <c r="U619" s="143"/>
      <c r="V619" s="143"/>
      <c r="AA619" s="1"/>
    </row>
    <row r="620" spans="21:27" ht="12.75">
      <c r="U620" s="143"/>
      <c r="V620" s="143"/>
      <c r="AA620" s="1"/>
    </row>
    <row r="621" spans="21:27" ht="12.75">
      <c r="U621" s="143"/>
      <c r="V621" s="143"/>
      <c r="AA621" s="1"/>
    </row>
    <row r="622" spans="21:27" ht="12.75">
      <c r="U622" s="143"/>
      <c r="V622" s="143"/>
      <c r="AA622" s="1"/>
    </row>
    <row r="623" spans="21:27" ht="12.75">
      <c r="U623" s="143"/>
      <c r="V623" s="143"/>
      <c r="AA623" s="1"/>
    </row>
    <row r="624" spans="21:27" ht="12.75">
      <c r="U624" s="143"/>
      <c r="V624" s="143"/>
      <c r="AA624" s="1"/>
    </row>
    <row r="625" spans="21:27" ht="12.75">
      <c r="U625" s="143"/>
      <c r="V625" s="143"/>
      <c r="AA625" s="1"/>
    </row>
    <row r="626" spans="21:27" ht="12.75">
      <c r="U626" s="143"/>
      <c r="V626" s="143"/>
      <c r="AA626" s="1"/>
    </row>
    <row r="627" spans="21:27" ht="12.75">
      <c r="U627" s="143"/>
      <c r="V627" s="143"/>
      <c r="AA627" s="1"/>
    </row>
    <row r="628" spans="21:27" ht="12.75">
      <c r="U628" s="143"/>
      <c r="V628" s="143"/>
      <c r="AA628" s="1"/>
    </row>
    <row r="629" spans="21:27" ht="12.75">
      <c r="U629" s="143"/>
      <c r="V629" s="143"/>
      <c r="AA629" s="1"/>
    </row>
    <row r="630" spans="21:27" ht="12.75">
      <c r="U630" s="143"/>
      <c r="V630" s="143"/>
      <c r="AA630" s="1"/>
    </row>
    <row r="631" spans="21:27" ht="12.75">
      <c r="U631" s="143"/>
      <c r="V631" s="143"/>
      <c r="AA631" s="1"/>
    </row>
    <row r="632" spans="21:27" ht="12.75">
      <c r="U632" s="143"/>
      <c r="V632" s="143"/>
      <c r="AA632" s="1"/>
    </row>
    <row r="633" spans="21:27" ht="12.75">
      <c r="U633" s="143"/>
      <c r="V633" s="143"/>
      <c r="AA633" s="1"/>
    </row>
    <row r="634" spans="21:27" ht="12.75">
      <c r="U634" s="143"/>
      <c r="V634" s="143"/>
      <c r="AA634" s="1"/>
    </row>
    <row r="635" spans="21:27" ht="12.75">
      <c r="U635" s="143"/>
      <c r="V635" s="143"/>
      <c r="AA635" s="1"/>
    </row>
    <row r="636" spans="21:27" ht="12.75">
      <c r="U636" s="143"/>
      <c r="V636" s="143"/>
      <c r="AA636" s="1"/>
    </row>
    <row r="637" spans="21:27" ht="12.75">
      <c r="U637" s="143"/>
      <c r="V637" s="143"/>
      <c r="AA637" s="1"/>
    </row>
    <row r="638" spans="21:27" ht="12.75">
      <c r="U638" s="143"/>
      <c r="V638" s="143"/>
      <c r="AA638" s="1"/>
    </row>
    <row r="639" spans="21:27" ht="12.75">
      <c r="U639" s="143"/>
      <c r="V639" s="143"/>
      <c r="AA639" s="1"/>
    </row>
    <row r="640" spans="21:27" ht="12.75">
      <c r="U640" s="143"/>
      <c r="V640" s="143"/>
      <c r="AA640" s="1"/>
    </row>
    <row r="641" spans="21:27" ht="12.75">
      <c r="U641" s="143"/>
      <c r="V641" s="143"/>
      <c r="AA641" s="1"/>
    </row>
    <row r="642" spans="21:27" ht="12.75">
      <c r="U642" s="143"/>
      <c r="V642" s="143"/>
      <c r="AA642" s="1"/>
    </row>
    <row r="643" spans="21:27" ht="12.75">
      <c r="U643" s="143"/>
      <c r="V643" s="143"/>
      <c r="AA643" s="1"/>
    </row>
    <row r="644" spans="21:27" ht="12.75">
      <c r="U644" s="143"/>
      <c r="V644" s="143"/>
      <c r="AA644" s="1"/>
    </row>
    <row r="645" spans="21:27" ht="12.75">
      <c r="U645" s="143"/>
      <c r="V645" s="143"/>
      <c r="AA645" s="1"/>
    </row>
    <row r="646" spans="21:27" ht="12.75">
      <c r="U646" s="143"/>
      <c r="V646" s="143"/>
      <c r="AA646" s="1"/>
    </row>
    <row r="647" spans="21:27" ht="12.75">
      <c r="U647" s="143"/>
      <c r="V647" s="143"/>
      <c r="AA647" s="1"/>
    </row>
    <row r="648" spans="21:27" ht="12.75">
      <c r="U648" s="143"/>
      <c r="V648" s="143"/>
      <c r="AA648" s="1"/>
    </row>
    <row r="649" spans="21:27" ht="12.75">
      <c r="U649" s="143"/>
      <c r="V649" s="143"/>
      <c r="AA649" s="1"/>
    </row>
    <row r="650" spans="21:27" ht="12.75">
      <c r="U650" s="143"/>
      <c r="V650" s="143"/>
      <c r="AA650" s="1"/>
    </row>
    <row r="651" spans="21:27" ht="12.75">
      <c r="U651" s="143"/>
      <c r="V651" s="143"/>
      <c r="AA651" s="1"/>
    </row>
    <row r="652" spans="21:27" ht="12.75">
      <c r="U652" s="143"/>
      <c r="V652" s="143"/>
      <c r="AA652" s="1"/>
    </row>
    <row r="653" spans="21:27" ht="12.75">
      <c r="U653" s="143"/>
      <c r="V653" s="143"/>
      <c r="AA653" s="1"/>
    </row>
    <row r="654" spans="21:27" ht="12.75">
      <c r="U654" s="143"/>
      <c r="V654" s="143"/>
      <c r="AA654" s="1"/>
    </row>
    <row r="655" spans="21:27" ht="12.75">
      <c r="U655" s="143"/>
      <c r="V655" s="143"/>
      <c r="AA655" s="1"/>
    </row>
    <row r="656" spans="21:27" ht="12.75">
      <c r="U656" s="143"/>
      <c r="V656" s="143"/>
      <c r="AA656" s="1"/>
    </row>
    <row r="657" spans="21:27" ht="12.75">
      <c r="U657" s="143"/>
      <c r="V657" s="143"/>
      <c r="AA657" s="1"/>
    </row>
    <row r="658" spans="21:27" ht="12.75">
      <c r="U658" s="143"/>
      <c r="V658" s="143"/>
      <c r="AA658" s="1"/>
    </row>
    <row r="659" ht="12.75">
      <c r="V659" s="147"/>
    </row>
    <row r="660" ht="12.75">
      <c r="V660" s="147"/>
    </row>
    <row r="661" ht="12.75">
      <c r="V661" s="147"/>
    </row>
    <row r="662" ht="12.75">
      <c r="V662" s="147"/>
    </row>
    <row r="663" ht="12.75">
      <c r="V663" s="147"/>
    </row>
    <row r="664" ht="12.75">
      <c r="V664" s="147"/>
    </row>
    <row r="665" ht="12.75">
      <c r="V665" s="147"/>
    </row>
    <row r="666" ht="12.75">
      <c r="V666" s="147"/>
    </row>
    <row r="667" ht="12.75">
      <c r="V667" s="147"/>
    </row>
    <row r="668" ht="12.75">
      <c r="V668" s="147"/>
    </row>
    <row r="669" ht="12.75">
      <c r="V669" s="147"/>
    </row>
    <row r="670" ht="12.75">
      <c r="V670" s="147"/>
    </row>
    <row r="671" ht="12.75">
      <c r="V671" s="147"/>
    </row>
    <row r="672" ht="12.75">
      <c r="V672" s="147"/>
    </row>
    <row r="673" ht="12.75">
      <c r="V673" s="147"/>
    </row>
    <row r="674" ht="12.75">
      <c r="V674" s="147"/>
    </row>
    <row r="675" ht="12.75">
      <c r="V675" s="147"/>
    </row>
    <row r="676" ht="12.75">
      <c r="V676" s="147"/>
    </row>
    <row r="677" ht="12.75">
      <c r="V677" s="147"/>
    </row>
    <row r="678" ht="12.75">
      <c r="V678" s="147"/>
    </row>
    <row r="679" ht="12.75">
      <c r="V679" s="147"/>
    </row>
    <row r="680" ht="12.75">
      <c r="V680" s="147"/>
    </row>
    <row r="681" ht="12.75">
      <c r="V681" s="147"/>
    </row>
    <row r="682" ht="12.75">
      <c r="V682" s="147"/>
    </row>
    <row r="683" ht="12.75">
      <c r="V683" s="147"/>
    </row>
    <row r="684" ht="12.75">
      <c r="V684" s="147"/>
    </row>
    <row r="685" ht="12.75">
      <c r="V685" s="147"/>
    </row>
    <row r="686" ht="12.75">
      <c r="V686" s="147"/>
    </row>
    <row r="687" ht="12.75">
      <c r="V687" s="147"/>
    </row>
    <row r="688" ht="12.75">
      <c r="V688" s="147"/>
    </row>
    <row r="689" ht="12.75">
      <c r="V689" s="147"/>
    </row>
    <row r="690" ht="12.75">
      <c r="V690" s="147"/>
    </row>
    <row r="691" ht="12.75">
      <c r="V691" s="147"/>
    </row>
    <row r="692" ht="12.75">
      <c r="V692" s="147"/>
    </row>
    <row r="693" ht="12.75">
      <c r="V693" s="147"/>
    </row>
    <row r="694" ht="12.75">
      <c r="V694" s="147"/>
    </row>
    <row r="695" ht="12.75">
      <c r="V695" s="147"/>
    </row>
    <row r="696" ht="12.75">
      <c r="V696" s="147"/>
    </row>
    <row r="697" ht="12.75">
      <c r="V697" s="147"/>
    </row>
    <row r="698" ht="12.75">
      <c r="V698" s="147"/>
    </row>
    <row r="699" ht="12.75">
      <c r="V699" s="147"/>
    </row>
    <row r="700" ht="12.75">
      <c r="V700" s="147"/>
    </row>
    <row r="701" ht="12.75">
      <c r="V701" s="147"/>
    </row>
    <row r="702" ht="12.75">
      <c r="V702" s="147"/>
    </row>
    <row r="703" ht="12.75">
      <c r="V703" s="147"/>
    </row>
    <row r="704" ht="12.75">
      <c r="V704" s="147"/>
    </row>
    <row r="705" ht="12.75">
      <c r="V705" s="147"/>
    </row>
    <row r="706" ht="12.75">
      <c r="V706" s="147"/>
    </row>
    <row r="707" ht="12.75">
      <c r="V707" s="147"/>
    </row>
    <row r="708" ht="12.75">
      <c r="V708" s="147"/>
    </row>
    <row r="709" ht="12.75">
      <c r="V709" s="147"/>
    </row>
    <row r="710" ht="12.75">
      <c r="V710" s="147"/>
    </row>
    <row r="711" ht="12.75">
      <c r="V711" s="147"/>
    </row>
    <row r="712" ht="12.75">
      <c r="V712" s="147"/>
    </row>
    <row r="713" ht="12.75">
      <c r="V713" s="147"/>
    </row>
    <row r="714" ht="12.75">
      <c r="V714" s="147"/>
    </row>
    <row r="715" ht="12.75">
      <c r="V715" s="147"/>
    </row>
    <row r="716" ht="12.75">
      <c r="V716" s="147"/>
    </row>
    <row r="717" ht="12.75">
      <c r="V717" s="147"/>
    </row>
    <row r="718" ht="12.75">
      <c r="V718" s="147"/>
    </row>
    <row r="719" ht="12.75">
      <c r="V719" s="147"/>
    </row>
    <row r="720" ht="12.75">
      <c r="V720" s="147"/>
    </row>
    <row r="721" ht="12.75">
      <c r="V721" s="147"/>
    </row>
    <row r="722" ht="12.75">
      <c r="V722" s="147"/>
    </row>
    <row r="723" ht="12.75">
      <c r="V723" s="147"/>
    </row>
    <row r="724" ht="12.75">
      <c r="V724" s="147"/>
    </row>
    <row r="725" ht="12.75">
      <c r="V725" s="147"/>
    </row>
    <row r="726" ht="12.75">
      <c r="V726" s="147"/>
    </row>
    <row r="727" ht="12.75">
      <c r="V727" s="147"/>
    </row>
    <row r="728" ht="12.75">
      <c r="V728" s="147"/>
    </row>
    <row r="729" ht="12.75">
      <c r="V729" s="147"/>
    </row>
    <row r="730" ht="12.75">
      <c r="V730" s="147"/>
    </row>
    <row r="731" ht="12.75">
      <c r="V731" s="147"/>
    </row>
    <row r="732" ht="12.75">
      <c r="V732" s="147"/>
    </row>
    <row r="733" ht="12.75">
      <c r="V733" s="147"/>
    </row>
    <row r="734" ht="12.75">
      <c r="V734" s="147"/>
    </row>
    <row r="735" ht="12.75">
      <c r="V735" s="147"/>
    </row>
    <row r="736" ht="12.75">
      <c r="V736" s="147"/>
    </row>
    <row r="737" ht="12.75">
      <c r="V737" s="147"/>
    </row>
    <row r="738" ht="12.75">
      <c r="V738" s="147"/>
    </row>
    <row r="739" ht="12.75">
      <c r="V739" s="147"/>
    </row>
    <row r="740" ht="12.75">
      <c r="V740" s="147"/>
    </row>
    <row r="741" ht="12.75">
      <c r="V741" s="147"/>
    </row>
    <row r="742" ht="12.75">
      <c r="V742" s="147"/>
    </row>
    <row r="743" ht="12.75">
      <c r="V743" s="147"/>
    </row>
    <row r="744" ht="12.75">
      <c r="V744" s="147"/>
    </row>
    <row r="745" ht="12.75">
      <c r="V745" s="147"/>
    </row>
    <row r="746" ht="12.75">
      <c r="V746" s="147"/>
    </row>
    <row r="747" ht="12.75">
      <c r="V747" s="147"/>
    </row>
    <row r="748" ht="12.75">
      <c r="V748" s="147"/>
    </row>
    <row r="749" ht="12.75">
      <c r="V749" s="147"/>
    </row>
    <row r="750" ht="12.75">
      <c r="V750" s="147"/>
    </row>
    <row r="751" ht="12.75">
      <c r="V751" s="147"/>
    </row>
    <row r="752" ht="12.75">
      <c r="V752" s="147"/>
    </row>
    <row r="753" ht="12.75">
      <c r="V753" s="147"/>
    </row>
    <row r="754" ht="12.75">
      <c r="V754" s="147"/>
    </row>
    <row r="755" ht="12.75">
      <c r="V755" s="147"/>
    </row>
    <row r="756" ht="12.75">
      <c r="V756" s="147"/>
    </row>
    <row r="757" ht="12.75">
      <c r="V757" s="147"/>
    </row>
    <row r="758" ht="12.75">
      <c r="V758" s="147"/>
    </row>
    <row r="759" ht="12.75">
      <c r="V759" s="147"/>
    </row>
    <row r="760" ht="12.75">
      <c r="V760" s="147"/>
    </row>
    <row r="761" ht="12.75">
      <c r="V761" s="147"/>
    </row>
    <row r="762" ht="12.75">
      <c r="V762" s="147"/>
    </row>
    <row r="763" ht="12.75">
      <c r="V763" s="147"/>
    </row>
    <row r="764" ht="12.75">
      <c r="V764" s="147"/>
    </row>
    <row r="765" ht="12.75">
      <c r="V765" s="147"/>
    </row>
    <row r="766" ht="12.75">
      <c r="V766" s="147"/>
    </row>
    <row r="767" ht="12.75">
      <c r="V767" s="147"/>
    </row>
    <row r="768" ht="12.75">
      <c r="V768" s="147"/>
    </row>
    <row r="769" ht="12.75">
      <c r="V769" s="147"/>
    </row>
    <row r="770" ht="12.75">
      <c r="V770" s="147"/>
    </row>
    <row r="771" ht="12.75">
      <c r="V771" s="147"/>
    </row>
    <row r="772" ht="12.75">
      <c r="V772" s="147"/>
    </row>
    <row r="773" ht="12.75">
      <c r="V773" s="147"/>
    </row>
    <row r="774" ht="12.75">
      <c r="V774" s="147"/>
    </row>
    <row r="775" ht="12.75">
      <c r="V775" s="147"/>
    </row>
    <row r="776" ht="12.75">
      <c r="V776" s="147"/>
    </row>
    <row r="777" ht="12.75">
      <c r="V777" s="147"/>
    </row>
    <row r="778" ht="12.75">
      <c r="V778" s="147"/>
    </row>
    <row r="779" ht="12.75">
      <c r="V779" s="147"/>
    </row>
    <row r="780" ht="12.75">
      <c r="V780" s="147"/>
    </row>
    <row r="781" ht="12.75">
      <c r="V781" s="147"/>
    </row>
    <row r="782" ht="12.75">
      <c r="V782" s="147"/>
    </row>
    <row r="783" ht="12.75">
      <c r="V783" s="147"/>
    </row>
    <row r="784" ht="12.75">
      <c r="V784" s="147"/>
    </row>
    <row r="785" ht="12.75">
      <c r="V785" s="147"/>
    </row>
    <row r="786" ht="12.75">
      <c r="V786" s="147"/>
    </row>
    <row r="787" ht="12.75">
      <c r="V787" s="147"/>
    </row>
    <row r="788" ht="12.75">
      <c r="V788" s="147"/>
    </row>
    <row r="789" ht="12.75">
      <c r="V789" s="147"/>
    </row>
    <row r="790" ht="12.75">
      <c r="V790" s="147"/>
    </row>
    <row r="791" ht="12.75">
      <c r="V791" s="147"/>
    </row>
    <row r="792" ht="12.75">
      <c r="V792" s="147"/>
    </row>
    <row r="793" ht="12.75">
      <c r="V793" s="147"/>
    </row>
    <row r="794" ht="12.75">
      <c r="V794" s="147"/>
    </row>
    <row r="795" ht="12.75">
      <c r="V795" s="147"/>
    </row>
    <row r="796" ht="12.75">
      <c r="V796" s="147"/>
    </row>
    <row r="797" ht="12.75">
      <c r="V797" s="147"/>
    </row>
    <row r="798" ht="12.75">
      <c r="V798" s="147"/>
    </row>
    <row r="799" ht="12.75">
      <c r="V799" s="147"/>
    </row>
    <row r="800" ht="12.75">
      <c r="V800" s="147"/>
    </row>
    <row r="801" ht="12.75">
      <c r="V801" s="147"/>
    </row>
    <row r="802" ht="12.75">
      <c r="V802" s="147"/>
    </row>
    <row r="803" ht="12.75">
      <c r="V803" s="147"/>
    </row>
    <row r="804" ht="12.75">
      <c r="V804" s="147"/>
    </row>
    <row r="805" ht="12.75">
      <c r="V805" s="147"/>
    </row>
    <row r="806" ht="12.75">
      <c r="V806" s="147"/>
    </row>
    <row r="807" ht="12.75">
      <c r="V807" s="147"/>
    </row>
    <row r="808" ht="12.75">
      <c r="V808" s="147"/>
    </row>
    <row r="809" ht="12.75">
      <c r="V809" s="147"/>
    </row>
    <row r="810" ht="12.75">
      <c r="V810" s="147"/>
    </row>
    <row r="811" ht="12.75">
      <c r="V811" s="147"/>
    </row>
    <row r="812" ht="12.75">
      <c r="V812" s="147"/>
    </row>
    <row r="813" ht="12.75">
      <c r="V813" s="147"/>
    </row>
    <row r="814" ht="12.75">
      <c r="V814" s="147"/>
    </row>
    <row r="815" ht="12.75">
      <c r="V815" s="147"/>
    </row>
    <row r="816" ht="12.75">
      <c r="V816" s="147"/>
    </row>
    <row r="817" ht="12.75">
      <c r="V817" s="147"/>
    </row>
    <row r="818" ht="12.75">
      <c r="V818" s="147"/>
    </row>
    <row r="819" ht="12.75">
      <c r="V819" s="147"/>
    </row>
    <row r="820" ht="12.75">
      <c r="V820" s="147"/>
    </row>
    <row r="821" ht="12.75">
      <c r="V821" s="147"/>
    </row>
    <row r="822" ht="12.75">
      <c r="V822" s="147"/>
    </row>
    <row r="823" ht="12.75">
      <c r="V823" s="147"/>
    </row>
    <row r="824" ht="12.75">
      <c r="V824" s="147"/>
    </row>
    <row r="825" ht="12.75">
      <c r="V825" s="147"/>
    </row>
    <row r="826" ht="12.75">
      <c r="V826" s="147"/>
    </row>
    <row r="827" ht="12.75">
      <c r="V827" s="147"/>
    </row>
    <row r="828" ht="12.75">
      <c r="V828" s="147"/>
    </row>
    <row r="829" ht="12.75">
      <c r="V829" s="147"/>
    </row>
    <row r="830" ht="12.75">
      <c r="V830" s="147"/>
    </row>
    <row r="831" ht="12.75">
      <c r="V831" s="147"/>
    </row>
    <row r="832" ht="12.75">
      <c r="V832" s="147"/>
    </row>
    <row r="833" ht="12.75">
      <c r="V833" s="147"/>
    </row>
    <row r="834" ht="12.75">
      <c r="V834" s="147"/>
    </row>
    <row r="835" ht="12.75">
      <c r="V835" s="147"/>
    </row>
    <row r="836" ht="12.75">
      <c r="V836" s="147"/>
    </row>
    <row r="837" ht="12.75">
      <c r="V837" s="147"/>
    </row>
    <row r="838" ht="12.75">
      <c r="V838" s="147"/>
    </row>
    <row r="839" ht="12.75">
      <c r="V839" s="147"/>
    </row>
    <row r="840" ht="12.75">
      <c r="V840" s="147"/>
    </row>
    <row r="841" ht="12.75">
      <c r="V841" s="147"/>
    </row>
    <row r="842" ht="12.75">
      <c r="V842" s="147"/>
    </row>
    <row r="843" ht="12.75">
      <c r="V843" s="147"/>
    </row>
    <row r="844" ht="12.75">
      <c r="V844" s="147"/>
    </row>
    <row r="845" ht="12.75">
      <c r="V845" s="147"/>
    </row>
    <row r="846" ht="12.75">
      <c r="V846" s="147"/>
    </row>
    <row r="847" ht="12.75">
      <c r="V847" s="147"/>
    </row>
    <row r="848" ht="12.75">
      <c r="V848" s="147"/>
    </row>
    <row r="849" ht="12.75">
      <c r="V849" s="147"/>
    </row>
    <row r="850" ht="12.75">
      <c r="V850" s="147"/>
    </row>
    <row r="851" ht="12.75">
      <c r="V851" s="147"/>
    </row>
    <row r="852" ht="12.75">
      <c r="V852" s="147"/>
    </row>
    <row r="853" ht="12.75">
      <c r="V853" s="147"/>
    </row>
    <row r="854" ht="12.75">
      <c r="V854" s="147"/>
    </row>
    <row r="855" ht="12.75">
      <c r="V855" s="147"/>
    </row>
    <row r="856" ht="12.75">
      <c r="V856" s="147"/>
    </row>
    <row r="857" ht="12.75">
      <c r="V857" s="147"/>
    </row>
    <row r="858" ht="12.75">
      <c r="V858" s="147"/>
    </row>
    <row r="859" ht="12.75">
      <c r="V859" s="147"/>
    </row>
    <row r="860" ht="12.75">
      <c r="V860" s="147"/>
    </row>
    <row r="861" ht="12.75">
      <c r="V861" s="147"/>
    </row>
    <row r="862" ht="12.75">
      <c r="V862" s="147"/>
    </row>
    <row r="863" ht="12.75">
      <c r="V863" s="147"/>
    </row>
    <row r="864" ht="12.75">
      <c r="V864" s="147"/>
    </row>
    <row r="865" ht="12.75">
      <c r="V865" s="147"/>
    </row>
    <row r="866" ht="12.75">
      <c r="V866" s="147"/>
    </row>
    <row r="867" ht="12.75">
      <c r="V867" s="147"/>
    </row>
    <row r="868" ht="12.75">
      <c r="V868" s="147"/>
    </row>
    <row r="869" ht="12.75">
      <c r="V869" s="147"/>
    </row>
    <row r="870" ht="12.75">
      <c r="V870" s="147"/>
    </row>
    <row r="871" ht="12.75">
      <c r="V871" s="147"/>
    </row>
    <row r="872" ht="12.75">
      <c r="V872" s="147"/>
    </row>
    <row r="873" ht="12.75">
      <c r="V873" s="147"/>
    </row>
    <row r="874" ht="12.75">
      <c r="V874" s="147"/>
    </row>
    <row r="875" ht="12.75">
      <c r="V875" s="147"/>
    </row>
    <row r="876" ht="12.75">
      <c r="V876" s="147"/>
    </row>
    <row r="877" ht="12.75">
      <c r="V877" s="147"/>
    </row>
    <row r="878" ht="12.75">
      <c r="V878" s="147"/>
    </row>
    <row r="879" ht="12.75">
      <c r="V879" s="147"/>
    </row>
    <row r="880" ht="12.75">
      <c r="V880" s="147"/>
    </row>
    <row r="881" ht="12.75">
      <c r="V881" s="147"/>
    </row>
    <row r="882" ht="12.75">
      <c r="V882" s="147"/>
    </row>
    <row r="883" ht="12.75">
      <c r="V883" s="147"/>
    </row>
    <row r="884" ht="12.75">
      <c r="V884" s="147"/>
    </row>
    <row r="885" ht="12.75">
      <c r="V885" s="147"/>
    </row>
    <row r="886" ht="12.75">
      <c r="V886" s="147"/>
    </row>
    <row r="887" ht="12.75">
      <c r="V887" s="147"/>
    </row>
    <row r="888" ht="12.75">
      <c r="V888" s="147"/>
    </row>
    <row r="889" ht="12.75">
      <c r="V889" s="147"/>
    </row>
    <row r="890" ht="12.75">
      <c r="V890" s="147"/>
    </row>
    <row r="891" ht="12.75">
      <c r="V891" s="147"/>
    </row>
    <row r="892" ht="12.75">
      <c r="V892" s="147"/>
    </row>
    <row r="893" ht="12.75">
      <c r="V893" s="147"/>
    </row>
    <row r="894" ht="12.75">
      <c r="V894" s="147"/>
    </row>
    <row r="895" ht="12.75">
      <c r="V895" s="147"/>
    </row>
    <row r="896" ht="12.75">
      <c r="V896" s="147"/>
    </row>
    <row r="897" ht="12.75">
      <c r="V897" s="147"/>
    </row>
    <row r="898" ht="12.75">
      <c r="V898" s="147"/>
    </row>
    <row r="899" ht="12.75">
      <c r="V899" s="147"/>
    </row>
    <row r="900" ht="12.75">
      <c r="V900" s="147"/>
    </row>
    <row r="901" ht="12.75">
      <c r="V901" s="147"/>
    </row>
    <row r="902" ht="12.75">
      <c r="V902" s="147"/>
    </row>
    <row r="903" ht="12.75">
      <c r="V903" s="147"/>
    </row>
    <row r="904" ht="12.75">
      <c r="V904" s="147"/>
    </row>
    <row r="905" ht="12.75">
      <c r="V905" s="147"/>
    </row>
    <row r="906" ht="12.75">
      <c r="V906" s="147"/>
    </row>
    <row r="907" ht="12.75">
      <c r="V907" s="147"/>
    </row>
    <row r="908" ht="12.75">
      <c r="V908" s="147"/>
    </row>
    <row r="909" ht="12.75">
      <c r="V909" s="147"/>
    </row>
    <row r="910" ht="12.75">
      <c r="V910" s="147"/>
    </row>
    <row r="911" ht="12.75">
      <c r="V911" s="147"/>
    </row>
    <row r="912" ht="12.75">
      <c r="V912" s="147"/>
    </row>
    <row r="913" ht="12.75">
      <c r="V913" s="147"/>
    </row>
    <row r="914" ht="12.75">
      <c r="V914" s="147"/>
    </row>
    <row r="915" ht="12.75">
      <c r="V915" s="147"/>
    </row>
    <row r="916" ht="12.75">
      <c r="V916" s="147"/>
    </row>
    <row r="917" ht="12.75">
      <c r="V917" s="147"/>
    </row>
    <row r="918" ht="12.75">
      <c r="V918" s="147"/>
    </row>
    <row r="919" ht="12.75">
      <c r="V919" s="147"/>
    </row>
    <row r="920" ht="12.75">
      <c r="V920" s="147"/>
    </row>
    <row r="921" ht="12.75">
      <c r="V921" s="147"/>
    </row>
    <row r="922" ht="12.75">
      <c r="V922" s="147"/>
    </row>
    <row r="923" ht="12.75">
      <c r="V923" s="147"/>
    </row>
    <row r="924" ht="12.75">
      <c r="V924" s="147"/>
    </row>
    <row r="925" ht="12.75">
      <c r="V925" s="147"/>
    </row>
    <row r="926" ht="12.75">
      <c r="V926" s="147"/>
    </row>
    <row r="927" ht="12.75">
      <c r="V927" s="147"/>
    </row>
    <row r="928" ht="12.75">
      <c r="V928" s="147"/>
    </row>
    <row r="929" ht="12.75">
      <c r="V929" s="147"/>
    </row>
    <row r="930" ht="12.75">
      <c r="V930" s="147"/>
    </row>
    <row r="931" ht="12.75">
      <c r="V931" s="147"/>
    </row>
    <row r="932" ht="12.75">
      <c r="V932" s="147"/>
    </row>
    <row r="933" ht="12.75">
      <c r="V933" s="147"/>
    </row>
    <row r="934" ht="12.75">
      <c r="V934" s="147"/>
    </row>
    <row r="935" ht="12.75">
      <c r="V935" s="147"/>
    </row>
    <row r="936" ht="12.75">
      <c r="V936" s="147"/>
    </row>
    <row r="937" ht="12.75">
      <c r="V937" s="147"/>
    </row>
    <row r="938" ht="12.75">
      <c r="V938" s="147"/>
    </row>
    <row r="939" ht="12.75">
      <c r="V939" s="147"/>
    </row>
    <row r="940" ht="12.75">
      <c r="V940" s="147"/>
    </row>
    <row r="941" ht="12.75">
      <c r="V941" s="147"/>
    </row>
    <row r="942" ht="12.75">
      <c r="V942" s="147"/>
    </row>
    <row r="943" ht="12.75">
      <c r="V943" s="147"/>
    </row>
    <row r="944" ht="12.75">
      <c r="V944" s="147"/>
    </row>
    <row r="945" ht="12.75">
      <c r="V945" s="147"/>
    </row>
    <row r="946" ht="12.75">
      <c r="V946" s="147"/>
    </row>
    <row r="947" ht="12.75">
      <c r="V947" s="147"/>
    </row>
    <row r="948" ht="12.75">
      <c r="V948" s="147"/>
    </row>
    <row r="949" ht="12.75">
      <c r="V949" s="147"/>
    </row>
    <row r="950" ht="12.75">
      <c r="V950" s="147"/>
    </row>
    <row r="951" ht="12.75">
      <c r="V951" s="147"/>
    </row>
    <row r="952" ht="12.75">
      <c r="V952" s="147"/>
    </row>
    <row r="953" ht="12.75">
      <c r="V953" s="147"/>
    </row>
    <row r="954" ht="12.75">
      <c r="V954" s="147"/>
    </row>
    <row r="955" ht="12.75">
      <c r="V955" s="147"/>
    </row>
    <row r="956" ht="12.75">
      <c r="V956" s="147"/>
    </row>
    <row r="957" ht="12.75">
      <c r="V957" s="147"/>
    </row>
    <row r="958" ht="12.75">
      <c r="V958" s="147"/>
    </row>
    <row r="959" ht="12.75">
      <c r="V959" s="147"/>
    </row>
    <row r="960" ht="12.75">
      <c r="V960" s="147"/>
    </row>
    <row r="961" ht="12.75">
      <c r="V961" s="147"/>
    </row>
    <row r="962" ht="12.75">
      <c r="V962" s="147"/>
    </row>
    <row r="963" ht="12.75">
      <c r="V963" s="147"/>
    </row>
    <row r="964" ht="12.75">
      <c r="V964" s="147"/>
    </row>
    <row r="965" ht="12.75">
      <c r="V965" s="147"/>
    </row>
    <row r="966" ht="12.75">
      <c r="V966" s="147"/>
    </row>
    <row r="967" ht="12.75">
      <c r="V967" s="147"/>
    </row>
    <row r="968" ht="12.75">
      <c r="V968" s="147"/>
    </row>
    <row r="969" ht="12.75">
      <c r="V969" s="147"/>
    </row>
    <row r="970" ht="12.75">
      <c r="V970" s="147"/>
    </row>
    <row r="971" ht="12.75">
      <c r="V971" s="147"/>
    </row>
    <row r="972" ht="12.75">
      <c r="V972" s="147"/>
    </row>
    <row r="973" ht="12.75">
      <c r="V973" s="147"/>
    </row>
    <row r="974" ht="12.75">
      <c r="V974" s="147"/>
    </row>
    <row r="975" ht="12.75">
      <c r="V975" s="147"/>
    </row>
    <row r="976" ht="12.75">
      <c r="V976" s="147"/>
    </row>
    <row r="977" ht="12.75">
      <c r="V977" s="147"/>
    </row>
    <row r="978" ht="12.75">
      <c r="V978" s="147"/>
    </row>
    <row r="979" ht="12.75">
      <c r="V979" s="147"/>
    </row>
    <row r="980" ht="12.75">
      <c r="V980" s="147"/>
    </row>
    <row r="981" ht="12.75">
      <c r="V981" s="147"/>
    </row>
    <row r="982" ht="12.75">
      <c r="V982" s="147"/>
    </row>
    <row r="983" ht="12.75">
      <c r="V983" s="147"/>
    </row>
    <row r="984" ht="12.75">
      <c r="V984" s="147"/>
    </row>
    <row r="985" ht="12.75">
      <c r="V985" s="147"/>
    </row>
    <row r="986" ht="12.75">
      <c r="V986" s="147"/>
    </row>
    <row r="987" ht="12.75">
      <c r="V987" s="147"/>
    </row>
    <row r="988" ht="12.75">
      <c r="V988" s="147"/>
    </row>
    <row r="989" ht="12.75">
      <c r="V989" s="147"/>
    </row>
    <row r="990" ht="12.75">
      <c r="V990" s="147"/>
    </row>
    <row r="991" ht="12.75">
      <c r="V991" s="147"/>
    </row>
    <row r="992" ht="12.75">
      <c r="V992" s="147"/>
    </row>
    <row r="993" ht="12.75">
      <c r="V993" s="147"/>
    </row>
    <row r="994" ht="12.75">
      <c r="V994" s="147"/>
    </row>
    <row r="995" ht="12.75">
      <c r="V995" s="147"/>
    </row>
    <row r="996" ht="12.75">
      <c r="V996" s="147"/>
    </row>
    <row r="997" ht="12.75">
      <c r="V997" s="147"/>
    </row>
    <row r="998" ht="12.75">
      <c r="V998" s="147"/>
    </row>
    <row r="999" ht="12.75">
      <c r="V999" s="147"/>
    </row>
    <row r="1000" ht="12.75">
      <c r="V1000" s="147"/>
    </row>
    <row r="1001" ht="12.75">
      <c r="V1001" s="147"/>
    </row>
    <row r="1002" ht="12.75">
      <c r="V1002" s="147"/>
    </row>
    <row r="1003" ht="12.75">
      <c r="V1003" s="147"/>
    </row>
    <row r="1004" ht="12.75">
      <c r="V1004" s="147"/>
    </row>
    <row r="1005" ht="12.75">
      <c r="V1005" s="147"/>
    </row>
    <row r="1006" ht="12.75">
      <c r="V1006" s="147"/>
    </row>
    <row r="1007" ht="12.75">
      <c r="V1007" s="147"/>
    </row>
    <row r="1008" ht="12.75">
      <c r="V1008" s="147"/>
    </row>
    <row r="1009" ht="12.75">
      <c r="V1009" s="147"/>
    </row>
    <row r="1010" ht="12.75">
      <c r="V1010" s="147"/>
    </row>
    <row r="1011" ht="12.75">
      <c r="V1011" s="147"/>
    </row>
    <row r="1012" ht="12.75">
      <c r="V1012" s="147"/>
    </row>
    <row r="1013" ht="12.75">
      <c r="V1013" s="147"/>
    </row>
    <row r="1014" ht="12.75">
      <c r="V1014" s="147"/>
    </row>
    <row r="1015" ht="12.75">
      <c r="V1015" s="147"/>
    </row>
    <row r="1016" ht="12.75">
      <c r="V1016" s="147"/>
    </row>
    <row r="1017" ht="12.75">
      <c r="V1017" s="147"/>
    </row>
    <row r="1018" ht="12.75">
      <c r="V1018" s="147"/>
    </row>
    <row r="1019" ht="12.75">
      <c r="V1019" s="147"/>
    </row>
    <row r="1020" ht="12.75">
      <c r="V1020" s="147"/>
    </row>
    <row r="1021" ht="12.75">
      <c r="V1021" s="147"/>
    </row>
    <row r="1022" ht="12.75">
      <c r="V1022" s="147"/>
    </row>
    <row r="1023" ht="12.75">
      <c r="V1023" s="147"/>
    </row>
    <row r="1024" ht="12.75">
      <c r="V1024" s="147"/>
    </row>
    <row r="1025" ht="12.75">
      <c r="V1025" s="147"/>
    </row>
    <row r="1026" ht="12.75">
      <c r="V1026" s="147"/>
    </row>
    <row r="1027" ht="12.75">
      <c r="V1027" s="147"/>
    </row>
    <row r="1028" ht="12.75">
      <c r="V1028" s="147"/>
    </row>
    <row r="1029" ht="12.75">
      <c r="V1029" s="147"/>
    </row>
    <row r="1030" ht="12.75">
      <c r="V1030" s="147"/>
    </row>
    <row r="1031" ht="12.75">
      <c r="V1031" s="147"/>
    </row>
    <row r="1032" ht="12.75">
      <c r="V1032" s="147"/>
    </row>
    <row r="1033" ht="12.75">
      <c r="V1033" s="147"/>
    </row>
    <row r="1034" ht="12.75">
      <c r="V1034" s="147"/>
    </row>
    <row r="1035" ht="12.75">
      <c r="V1035" s="147"/>
    </row>
    <row r="1036" ht="12.75">
      <c r="V1036" s="147"/>
    </row>
    <row r="1037" ht="12.75">
      <c r="V1037" s="147"/>
    </row>
    <row r="1038" ht="12.75">
      <c r="V1038" s="147"/>
    </row>
    <row r="1039" ht="12.75">
      <c r="V1039" s="147"/>
    </row>
    <row r="1040" ht="12.75">
      <c r="V1040" s="147"/>
    </row>
    <row r="1041" ht="12.75">
      <c r="V1041" s="147"/>
    </row>
    <row r="1042" ht="12.75">
      <c r="V1042" s="147"/>
    </row>
    <row r="1043" ht="12.75">
      <c r="V1043" s="147"/>
    </row>
    <row r="1044" ht="12.75">
      <c r="V1044" s="147"/>
    </row>
    <row r="1045" ht="12.75">
      <c r="V1045" s="147"/>
    </row>
    <row r="1046" ht="12.75">
      <c r="V1046" s="147"/>
    </row>
    <row r="1047" ht="12.75">
      <c r="V1047" s="147"/>
    </row>
    <row r="1048" ht="12.75">
      <c r="V1048" s="147"/>
    </row>
    <row r="1049" ht="12.75">
      <c r="V1049" s="147"/>
    </row>
    <row r="1050" ht="12.75">
      <c r="V1050" s="147"/>
    </row>
    <row r="1051" ht="12.75">
      <c r="V1051" s="147"/>
    </row>
    <row r="1052" ht="12.75">
      <c r="V1052" s="147"/>
    </row>
    <row r="1053" ht="12.75">
      <c r="V1053" s="147"/>
    </row>
    <row r="1054" ht="12.75">
      <c r="V1054" s="147"/>
    </row>
    <row r="1055" ht="12.75">
      <c r="V1055" s="147"/>
    </row>
    <row r="1056" ht="12.75">
      <c r="V1056" s="147"/>
    </row>
    <row r="1057" ht="12.75">
      <c r="V1057" s="147"/>
    </row>
    <row r="1058" ht="12.75">
      <c r="V1058" s="147"/>
    </row>
    <row r="1059" ht="12.75">
      <c r="V1059" s="147"/>
    </row>
    <row r="1060" ht="12.75">
      <c r="V1060" s="147"/>
    </row>
    <row r="1061" ht="12.75">
      <c r="V1061" s="147"/>
    </row>
    <row r="1062" ht="12.75">
      <c r="V1062" s="147"/>
    </row>
    <row r="1063" ht="12.75">
      <c r="V1063" s="147"/>
    </row>
    <row r="1064" ht="12.75">
      <c r="V1064" s="147"/>
    </row>
    <row r="1065" ht="12.75">
      <c r="V1065" s="147"/>
    </row>
    <row r="1066" ht="12.75">
      <c r="V1066" s="147"/>
    </row>
    <row r="1067" ht="12.75">
      <c r="V1067" s="147"/>
    </row>
    <row r="1068" ht="12.75">
      <c r="V1068" s="147"/>
    </row>
    <row r="1069" ht="12.75">
      <c r="V1069" s="147"/>
    </row>
    <row r="1070" ht="12.75">
      <c r="V1070" s="147"/>
    </row>
    <row r="1071" ht="12.75">
      <c r="V1071" s="147"/>
    </row>
    <row r="1072" ht="12.75">
      <c r="V1072" s="147"/>
    </row>
    <row r="1073" ht="12.75">
      <c r="V1073" s="147"/>
    </row>
    <row r="1074" ht="12.75">
      <c r="V1074" s="147"/>
    </row>
    <row r="1075" ht="12.75">
      <c r="V1075" s="147"/>
    </row>
    <row r="1076" ht="12.75">
      <c r="V1076" s="147"/>
    </row>
    <row r="1077" ht="12.75">
      <c r="V1077" s="147"/>
    </row>
    <row r="1078" ht="12.75">
      <c r="V1078" s="147"/>
    </row>
    <row r="1079" ht="12.75">
      <c r="V1079" s="147"/>
    </row>
    <row r="1080" ht="12.75">
      <c r="V1080" s="147"/>
    </row>
    <row r="1081" ht="12.75">
      <c r="V1081" s="147"/>
    </row>
    <row r="1082" ht="12.75">
      <c r="V1082" s="147"/>
    </row>
    <row r="1083" ht="12.75">
      <c r="V1083" s="147"/>
    </row>
    <row r="1084" ht="12.75">
      <c r="V1084" s="147"/>
    </row>
    <row r="1085" ht="12.75">
      <c r="V1085" s="147"/>
    </row>
    <row r="1086" ht="12.75">
      <c r="V1086" s="147"/>
    </row>
    <row r="1087" ht="12.75">
      <c r="V1087" s="147"/>
    </row>
    <row r="1088" ht="12.75">
      <c r="V1088" s="147"/>
    </row>
    <row r="1089" ht="12.75">
      <c r="V1089" s="147"/>
    </row>
    <row r="1090" ht="12.75">
      <c r="V1090" s="147"/>
    </row>
    <row r="1091" ht="12.75">
      <c r="V1091" s="147"/>
    </row>
    <row r="1092" ht="12.75">
      <c r="V1092" s="147"/>
    </row>
    <row r="1093" ht="12.75">
      <c r="V1093" s="147"/>
    </row>
    <row r="1094" ht="12.75">
      <c r="V1094" s="147"/>
    </row>
    <row r="1095" ht="12.75">
      <c r="V1095" s="147"/>
    </row>
    <row r="1096" ht="12.75">
      <c r="V1096" s="147"/>
    </row>
    <row r="1097" ht="12.75">
      <c r="V1097" s="147"/>
    </row>
    <row r="1098" ht="12.75">
      <c r="V1098" s="147"/>
    </row>
    <row r="1099" ht="12.75">
      <c r="V1099" s="147"/>
    </row>
    <row r="1100" ht="12.75">
      <c r="V1100" s="147"/>
    </row>
    <row r="1101" ht="12.75">
      <c r="V1101" s="147"/>
    </row>
    <row r="1102" ht="12.75">
      <c r="V1102" s="147"/>
    </row>
    <row r="1103" ht="12.75">
      <c r="V1103" s="147"/>
    </row>
    <row r="1104" ht="12.75">
      <c r="V1104" s="147"/>
    </row>
    <row r="1105" ht="12.75">
      <c r="V1105" s="147"/>
    </row>
    <row r="1106" ht="12.75">
      <c r="V1106" s="147"/>
    </row>
    <row r="1107" ht="12.75">
      <c r="V1107" s="147"/>
    </row>
    <row r="1108" ht="12.75">
      <c r="V1108" s="147"/>
    </row>
    <row r="1109" ht="12.75">
      <c r="V1109" s="147"/>
    </row>
    <row r="1110" ht="12.75">
      <c r="V1110" s="147"/>
    </row>
    <row r="1111" ht="12.75">
      <c r="V1111" s="147"/>
    </row>
    <row r="1112" ht="12.75">
      <c r="V1112" s="147"/>
    </row>
    <row r="1113" ht="12.75">
      <c r="V1113" s="147"/>
    </row>
    <row r="1114" ht="12.75">
      <c r="V1114" s="147"/>
    </row>
    <row r="1115" ht="12.75">
      <c r="V1115" s="147"/>
    </row>
    <row r="1116" ht="12.75">
      <c r="V1116" s="147"/>
    </row>
    <row r="1117" ht="12.75">
      <c r="V1117" s="147"/>
    </row>
    <row r="1118" ht="12.75">
      <c r="V1118" s="147"/>
    </row>
    <row r="1119" ht="12.75">
      <c r="V1119" s="147"/>
    </row>
    <row r="1120" ht="12.75">
      <c r="V1120" s="147"/>
    </row>
    <row r="1121" ht="12.75">
      <c r="V1121" s="147"/>
    </row>
    <row r="1122" ht="12.75">
      <c r="V1122" s="147"/>
    </row>
    <row r="1123" ht="12.75">
      <c r="V1123" s="147"/>
    </row>
    <row r="1124" ht="12.75">
      <c r="V1124" s="147"/>
    </row>
    <row r="1125" ht="12.75">
      <c r="V1125" s="147"/>
    </row>
    <row r="1126" ht="12.75">
      <c r="V1126" s="147"/>
    </row>
    <row r="1127" ht="12.75">
      <c r="V1127" s="147"/>
    </row>
    <row r="1128" ht="12.75">
      <c r="V1128" s="147"/>
    </row>
    <row r="1129" ht="12.75">
      <c r="V1129" s="147"/>
    </row>
    <row r="1130" ht="12.75">
      <c r="V1130" s="147"/>
    </row>
    <row r="1131" ht="12.75">
      <c r="V1131" s="147"/>
    </row>
    <row r="1132" ht="12.75">
      <c r="V1132" s="147"/>
    </row>
    <row r="1133" ht="12.75">
      <c r="V1133" s="147"/>
    </row>
    <row r="1134" ht="12.75">
      <c r="V1134" s="147"/>
    </row>
    <row r="1135" ht="12.75">
      <c r="V1135" s="147"/>
    </row>
    <row r="1136" ht="12.75">
      <c r="V1136" s="147"/>
    </row>
    <row r="1137" ht="12.75">
      <c r="V1137" s="147"/>
    </row>
    <row r="1138" ht="12.75">
      <c r="V1138" s="147"/>
    </row>
    <row r="1139" ht="12.75">
      <c r="V1139" s="147"/>
    </row>
    <row r="1140" ht="12.75">
      <c r="V1140" s="147"/>
    </row>
    <row r="1141" ht="12.75">
      <c r="V1141" s="147"/>
    </row>
    <row r="1142" ht="12.75">
      <c r="V1142" s="147"/>
    </row>
    <row r="1143" ht="12.75">
      <c r="V1143" s="147"/>
    </row>
    <row r="1144" ht="12.75">
      <c r="V1144" s="147"/>
    </row>
    <row r="1145" ht="12.75">
      <c r="V1145" s="147"/>
    </row>
    <row r="1146" ht="12.75">
      <c r="V1146" s="147"/>
    </row>
    <row r="1147" ht="12.75">
      <c r="V1147" s="147"/>
    </row>
    <row r="1148" ht="12.75">
      <c r="V1148" s="147"/>
    </row>
    <row r="1149" ht="12.75">
      <c r="V1149" s="147"/>
    </row>
    <row r="1150" ht="12.75">
      <c r="V1150" s="147"/>
    </row>
    <row r="1151" ht="12.75">
      <c r="V1151" s="147"/>
    </row>
    <row r="1152" ht="12.75">
      <c r="V1152" s="147"/>
    </row>
    <row r="1153" ht="12.75">
      <c r="V1153" s="147"/>
    </row>
    <row r="1154" ht="12.75">
      <c r="V1154" s="147"/>
    </row>
    <row r="1155" ht="12.75">
      <c r="V1155" s="147"/>
    </row>
    <row r="1156" ht="12.75">
      <c r="V1156" s="147"/>
    </row>
    <row r="1157" ht="12.75">
      <c r="V1157" s="147"/>
    </row>
    <row r="1158" ht="12.75">
      <c r="V1158" s="147"/>
    </row>
    <row r="1159" ht="12.75">
      <c r="V1159" s="147"/>
    </row>
    <row r="1160" ht="12.75">
      <c r="V1160" s="147"/>
    </row>
    <row r="1161" ht="12.75">
      <c r="V1161" s="147"/>
    </row>
    <row r="1162" ht="12.75">
      <c r="V1162" s="147"/>
    </row>
    <row r="1163" ht="12.75">
      <c r="V1163" s="147"/>
    </row>
    <row r="1164" ht="12.75">
      <c r="V1164" s="147"/>
    </row>
    <row r="1165" ht="12.75">
      <c r="V1165" s="147"/>
    </row>
    <row r="1166" ht="12.75">
      <c r="V1166" s="147"/>
    </row>
    <row r="1167" ht="12.75">
      <c r="V1167" s="147"/>
    </row>
    <row r="1168" ht="12.75">
      <c r="V1168" s="147"/>
    </row>
    <row r="1169" ht="12.75">
      <c r="V1169" s="147"/>
    </row>
    <row r="1170" ht="12.75">
      <c r="V1170" s="147"/>
    </row>
    <row r="1171" ht="12.75">
      <c r="V1171" s="147"/>
    </row>
    <row r="1172" ht="12.75">
      <c r="V1172" s="147"/>
    </row>
    <row r="1173" ht="12.75">
      <c r="V1173" s="147"/>
    </row>
    <row r="1174" ht="12.75">
      <c r="V1174" s="147"/>
    </row>
    <row r="1175" ht="12.75">
      <c r="V1175" s="147"/>
    </row>
    <row r="1176" ht="12.75">
      <c r="V1176" s="147"/>
    </row>
    <row r="1177" ht="12.75">
      <c r="V1177" s="147"/>
    </row>
    <row r="1178" ht="12.75">
      <c r="V1178" s="147"/>
    </row>
    <row r="1179" ht="12.75">
      <c r="V1179" s="147"/>
    </row>
    <row r="1180" ht="12.75">
      <c r="V1180" s="147"/>
    </row>
    <row r="1181" ht="12.75">
      <c r="V1181" s="147"/>
    </row>
    <row r="1182" ht="12.75">
      <c r="V1182" s="147"/>
    </row>
    <row r="1183" ht="12.75">
      <c r="V1183" s="147"/>
    </row>
    <row r="1184" ht="12.75">
      <c r="V1184" s="147"/>
    </row>
    <row r="1185" ht="12.75">
      <c r="V1185" s="147"/>
    </row>
    <row r="1186" ht="12.75">
      <c r="V1186" s="147"/>
    </row>
    <row r="1187" ht="12.75">
      <c r="V1187" s="147"/>
    </row>
    <row r="1188" ht="12.75">
      <c r="V1188" s="147"/>
    </row>
    <row r="1189" ht="12.75">
      <c r="V1189" s="147"/>
    </row>
    <row r="1190" ht="12.75">
      <c r="V1190" s="147"/>
    </row>
    <row r="1191" ht="12.75">
      <c r="V1191" s="147"/>
    </row>
    <row r="1192" ht="12.75">
      <c r="V1192" s="147"/>
    </row>
    <row r="1193" ht="12.75">
      <c r="V1193" s="147"/>
    </row>
    <row r="1194" ht="12.75">
      <c r="V1194" s="147"/>
    </row>
    <row r="1195" ht="12.75">
      <c r="V1195" s="147"/>
    </row>
    <row r="1196" ht="12.75">
      <c r="V1196" s="147"/>
    </row>
    <row r="1197" ht="12.75">
      <c r="V1197" s="147"/>
    </row>
    <row r="1198" ht="12.75">
      <c r="V1198" s="147"/>
    </row>
    <row r="1199" ht="12.75">
      <c r="V1199" s="147"/>
    </row>
    <row r="1200" ht="12.75">
      <c r="V1200" s="147"/>
    </row>
    <row r="1201" ht="12.75">
      <c r="V1201" s="147"/>
    </row>
    <row r="1202" ht="12.75">
      <c r="V1202" s="147"/>
    </row>
    <row r="1203" ht="12.75">
      <c r="V1203" s="147"/>
    </row>
    <row r="1204" ht="12.75">
      <c r="V1204" s="147"/>
    </row>
    <row r="1205" ht="12.75">
      <c r="V1205" s="147"/>
    </row>
    <row r="1206" ht="12.75">
      <c r="V1206" s="147"/>
    </row>
    <row r="1207" ht="12.75">
      <c r="V1207" s="147"/>
    </row>
    <row r="1208" ht="12.75">
      <c r="V1208" s="147"/>
    </row>
    <row r="1209" ht="12.75">
      <c r="V1209" s="147"/>
    </row>
    <row r="1210" ht="12.75">
      <c r="V1210" s="147"/>
    </row>
    <row r="1211" ht="12.75">
      <c r="V1211" s="147"/>
    </row>
    <row r="1212" ht="12.75">
      <c r="V1212" s="147"/>
    </row>
    <row r="1213" ht="12.75">
      <c r="V1213" s="147"/>
    </row>
    <row r="1214" ht="12.75">
      <c r="V1214" s="147"/>
    </row>
    <row r="1215" ht="12.75">
      <c r="V1215" s="147"/>
    </row>
    <row r="1216" ht="12.75">
      <c r="V1216" s="147"/>
    </row>
    <row r="1217" ht="12.75">
      <c r="V1217" s="147"/>
    </row>
    <row r="1218" ht="12.75">
      <c r="V1218" s="147"/>
    </row>
    <row r="1219" ht="12.75">
      <c r="V1219" s="147"/>
    </row>
    <row r="1220" ht="12.75">
      <c r="V1220" s="147"/>
    </row>
    <row r="1221" ht="12.75">
      <c r="V1221" s="147"/>
    </row>
    <row r="1222" ht="12.75">
      <c r="V1222" s="147"/>
    </row>
    <row r="1223" ht="12.75">
      <c r="V1223" s="147"/>
    </row>
    <row r="1224" ht="12.75">
      <c r="V1224" s="147"/>
    </row>
    <row r="1225" ht="12.75">
      <c r="V1225" s="147"/>
    </row>
    <row r="1226" ht="12.75">
      <c r="V1226" s="147"/>
    </row>
    <row r="1227" ht="12.75">
      <c r="V1227" s="147"/>
    </row>
    <row r="1228" ht="12.75">
      <c r="V1228" s="147"/>
    </row>
    <row r="1229" ht="12.75">
      <c r="V1229" s="147"/>
    </row>
    <row r="1230" ht="12.75">
      <c r="V1230" s="147"/>
    </row>
    <row r="1231" ht="12.75">
      <c r="V1231" s="147"/>
    </row>
    <row r="1232" ht="12.75">
      <c r="V1232" s="147"/>
    </row>
    <row r="1233" ht="12.75">
      <c r="V1233" s="147"/>
    </row>
    <row r="1234" ht="12.75">
      <c r="V1234" s="147"/>
    </row>
    <row r="1235" ht="12.75">
      <c r="V1235" s="147"/>
    </row>
    <row r="1236" ht="12.75">
      <c r="V1236" s="147"/>
    </row>
    <row r="1237" ht="12.75">
      <c r="V1237" s="147"/>
    </row>
    <row r="1238" ht="12.75">
      <c r="V1238" s="147"/>
    </row>
    <row r="1239" ht="12.75">
      <c r="V1239" s="147"/>
    </row>
    <row r="1240" ht="12.75">
      <c r="V1240" s="147"/>
    </row>
    <row r="1241" ht="12.75">
      <c r="V1241" s="147"/>
    </row>
    <row r="1242" ht="12.75">
      <c r="V1242" s="147"/>
    </row>
    <row r="1243" ht="12.75">
      <c r="V1243" s="147"/>
    </row>
    <row r="1244" ht="12.75">
      <c r="V1244" s="147"/>
    </row>
    <row r="1245" ht="12.75">
      <c r="V1245" s="147"/>
    </row>
    <row r="1246" ht="12.75">
      <c r="V1246" s="147"/>
    </row>
    <row r="1247" ht="12.75">
      <c r="V1247" s="147"/>
    </row>
    <row r="1248" ht="12.75">
      <c r="V1248" s="147"/>
    </row>
    <row r="1249" ht="12.75">
      <c r="V1249" s="147"/>
    </row>
    <row r="1250" ht="12.75">
      <c r="V1250" s="147"/>
    </row>
    <row r="1251" ht="12.75">
      <c r="V1251" s="147"/>
    </row>
    <row r="1252" ht="12.75">
      <c r="V1252" s="147"/>
    </row>
    <row r="1253" ht="12.75">
      <c r="V1253" s="147"/>
    </row>
    <row r="1254" ht="12.75">
      <c r="V1254" s="147"/>
    </row>
    <row r="1255" ht="12.75">
      <c r="V1255" s="147"/>
    </row>
    <row r="1256" ht="12.75">
      <c r="V1256" s="147"/>
    </row>
    <row r="1257" ht="12.75">
      <c r="V1257" s="147"/>
    </row>
    <row r="1258" ht="12.75">
      <c r="V1258" s="147"/>
    </row>
    <row r="1259" ht="12.75">
      <c r="V1259" s="147"/>
    </row>
    <row r="1260" ht="12.75">
      <c r="V1260" s="147"/>
    </row>
    <row r="1261" ht="12.75">
      <c r="V1261" s="147"/>
    </row>
    <row r="1262" ht="12.75">
      <c r="V1262" s="147"/>
    </row>
    <row r="1263" ht="12.75">
      <c r="V1263" s="147"/>
    </row>
    <row r="1264" ht="12.75">
      <c r="V1264" s="147"/>
    </row>
    <row r="1265" ht="12.75">
      <c r="V1265" s="147"/>
    </row>
    <row r="1266" ht="12.75">
      <c r="V1266" s="147"/>
    </row>
    <row r="1267" ht="12.75">
      <c r="V1267" s="147"/>
    </row>
    <row r="1268" ht="12.75">
      <c r="V1268" s="147"/>
    </row>
    <row r="1269" ht="12.75">
      <c r="V1269" s="147"/>
    </row>
    <row r="1270" ht="12.75">
      <c r="V1270" s="147"/>
    </row>
    <row r="1271" ht="12.75">
      <c r="V1271" s="147"/>
    </row>
    <row r="1272" ht="12.75">
      <c r="V1272" s="147"/>
    </row>
    <row r="1273" ht="12.75">
      <c r="V1273" s="147"/>
    </row>
    <row r="1274" ht="12.75">
      <c r="V1274" s="147"/>
    </row>
    <row r="1275" ht="12.75">
      <c r="V1275" s="147"/>
    </row>
    <row r="1276" ht="12.75">
      <c r="V1276" s="147"/>
    </row>
    <row r="1277" ht="12.75">
      <c r="V1277" s="147"/>
    </row>
    <row r="1278" ht="12.75">
      <c r="V1278" s="147"/>
    </row>
    <row r="1279" ht="12.75">
      <c r="V1279" s="147"/>
    </row>
    <row r="1280" ht="12.75">
      <c r="V1280" s="147"/>
    </row>
    <row r="1281" ht="12.75">
      <c r="V1281" s="147"/>
    </row>
    <row r="1282" ht="12.75">
      <c r="V1282" s="147"/>
    </row>
    <row r="1283" ht="12.75">
      <c r="V1283" s="147"/>
    </row>
    <row r="1284" ht="12.75">
      <c r="V1284" s="147"/>
    </row>
    <row r="1285" ht="12.75">
      <c r="V1285" s="147"/>
    </row>
    <row r="1286" ht="12.75">
      <c r="V1286" s="147"/>
    </row>
    <row r="1287" ht="12.75">
      <c r="V1287" s="147"/>
    </row>
    <row r="1288" ht="12.75">
      <c r="V1288" s="147"/>
    </row>
    <row r="1289" ht="12.75">
      <c r="V1289" s="147"/>
    </row>
    <row r="1290" ht="12.75">
      <c r="V1290" s="147"/>
    </row>
    <row r="1291" ht="12.75">
      <c r="V1291" s="147"/>
    </row>
    <row r="1292" ht="12.75">
      <c r="V1292" s="147"/>
    </row>
    <row r="1293" ht="12.75">
      <c r="V1293" s="147"/>
    </row>
    <row r="1294" ht="12.75">
      <c r="V1294" s="147"/>
    </row>
    <row r="1295" ht="12.75">
      <c r="V1295" s="147"/>
    </row>
    <row r="1296" ht="12.75">
      <c r="V1296" s="147"/>
    </row>
    <row r="1297" ht="12.75">
      <c r="V1297" s="147"/>
    </row>
    <row r="1298" ht="12.75">
      <c r="V1298" s="147"/>
    </row>
    <row r="1299" ht="12.75">
      <c r="V1299" s="147"/>
    </row>
    <row r="1300" ht="12.75">
      <c r="V1300" s="147"/>
    </row>
    <row r="1301" ht="12.75">
      <c r="V1301" s="147"/>
    </row>
    <row r="1302" ht="12.75">
      <c r="V1302" s="147"/>
    </row>
    <row r="1303" ht="12.75">
      <c r="V1303" s="147"/>
    </row>
    <row r="1304" ht="12.75">
      <c r="V1304" s="147"/>
    </row>
    <row r="1305" ht="12.75">
      <c r="V1305" s="147"/>
    </row>
    <row r="1306" ht="12.75">
      <c r="V1306" s="147"/>
    </row>
    <row r="1307" ht="12.75">
      <c r="V1307" s="147"/>
    </row>
    <row r="1308" ht="12.75">
      <c r="V1308" s="147"/>
    </row>
    <row r="1309" ht="12.75">
      <c r="V1309" s="147"/>
    </row>
    <row r="1310" ht="12.75">
      <c r="V1310" s="147"/>
    </row>
    <row r="1311" ht="12.75">
      <c r="V1311" s="147"/>
    </row>
    <row r="1312" ht="12.75">
      <c r="V1312" s="147"/>
    </row>
    <row r="1313" ht="12.75">
      <c r="V1313" s="147"/>
    </row>
    <row r="1314" ht="12.75">
      <c r="V1314" s="147"/>
    </row>
    <row r="1315" ht="12.75">
      <c r="V1315" s="147"/>
    </row>
    <row r="1316" ht="12.75">
      <c r="V1316" s="147"/>
    </row>
    <row r="1317" ht="12.75">
      <c r="V1317" s="147"/>
    </row>
    <row r="1318" ht="12.75">
      <c r="V1318" s="147"/>
    </row>
    <row r="1319" ht="12.75">
      <c r="V1319" s="147"/>
    </row>
    <row r="1320" ht="12.75">
      <c r="V1320" s="147"/>
    </row>
    <row r="1321" ht="12.75">
      <c r="V1321" s="147"/>
    </row>
    <row r="1322" ht="12.75">
      <c r="V1322" s="147"/>
    </row>
    <row r="1323" ht="12.75">
      <c r="V1323" s="147"/>
    </row>
    <row r="1324" ht="12.75">
      <c r="V1324" s="147"/>
    </row>
    <row r="1325" ht="12.75">
      <c r="V1325" s="147"/>
    </row>
    <row r="1326" ht="12.75">
      <c r="V1326" s="147"/>
    </row>
    <row r="1327" ht="12.75">
      <c r="V1327" s="147"/>
    </row>
    <row r="1328" ht="12.75">
      <c r="V1328" s="147"/>
    </row>
    <row r="1329" ht="12.75">
      <c r="V1329" s="147"/>
    </row>
    <row r="1330" ht="12.75">
      <c r="V1330" s="147"/>
    </row>
    <row r="1331" ht="12.75">
      <c r="V1331" s="147"/>
    </row>
    <row r="1332" ht="12.75">
      <c r="V1332" s="147"/>
    </row>
    <row r="1333" ht="12.75">
      <c r="V1333" s="147"/>
    </row>
    <row r="1334" ht="12.75">
      <c r="V1334" s="147"/>
    </row>
    <row r="1335" ht="12.75">
      <c r="V1335" s="147"/>
    </row>
    <row r="1336" ht="12.75">
      <c r="V1336" s="147"/>
    </row>
    <row r="1337" ht="12.75">
      <c r="V1337" s="147"/>
    </row>
    <row r="1338" ht="12.75">
      <c r="V1338" s="147"/>
    </row>
    <row r="1339" ht="12.75">
      <c r="V1339" s="147"/>
    </row>
    <row r="1340" ht="12.75">
      <c r="V1340" s="147"/>
    </row>
    <row r="1341" ht="12.75">
      <c r="V1341" s="147"/>
    </row>
    <row r="1342" ht="12.75">
      <c r="V1342" s="147"/>
    </row>
    <row r="1343" ht="12.75">
      <c r="V1343" s="147"/>
    </row>
    <row r="1344" ht="12.75">
      <c r="V1344" s="147"/>
    </row>
    <row r="1345" ht="12.75">
      <c r="V1345" s="147"/>
    </row>
    <row r="1346" ht="12.75">
      <c r="V1346" s="147"/>
    </row>
    <row r="1347" ht="12.75">
      <c r="V1347" s="147"/>
    </row>
    <row r="1348" ht="12.75">
      <c r="V1348" s="147"/>
    </row>
    <row r="1349" ht="12.75">
      <c r="V1349" s="147"/>
    </row>
    <row r="1350" ht="12.75">
      <c r="V1350" s="147"/>
    </row>
    <row r="1351" ht="12.75">
      <c r="V1351" s="147"/>
    </row>
    <row r="1352" ht="12.75">
      <c r="V1352" s="147"/>
    </row>
    <row r="1353" ht="12.75">
      <c r="V1353" s="147"/>
    </row>
    <row r="1354" ht="12.75">
      <c r="V1354" s="147"/>
    </row>
    <row r="1355" ht="12.75">
      <c r="V1355" s="147"/>
    </row>
    <row r="1356" ht="12.75">
      <c r="V1356" s="147"/>
    </row>
    <row r="1357" ht="12.75">
      <c r="V1357" s="147"/>
    </row>
    <row r="1358" ht="12.75">
      <c r="V1358" s="147"/>
    </row>
    <row r="1359" ht="12.75">
      <c r="V1359" s="147"/>
    </row>
    <row r="1360" ht="12.75">
      <c r="V1360" s="147"/>
    </row>
    <row r="1361" ht="12.75">
      <c r="V1361" s="147"/>
    </row>
    <row r="1362" ht="12.75">
      <c r="V1362" s="147"/>
    </row>
    <row r="1363" ht="12.75">
      <c r="V1363" s="147"/>
    </row>
    <row r="1364" ht="12.75">
      <c r="V1364" s="147"/>
    </row>
    <row r="1365" ht="12.75">
      <c r="V1365" s="147"/>
    </row>
    <row r="1366" ht="12.75">
      <c r="V1366" s="147"/>
    </row>
    <row r="1367" ht="12.75">
      <c r="V1367" s="147"/>
    </row>
    <row r="1368" ht="12.75">
      <c r="V1368" s="147"/>
    </row>
    <row r="1369" ht="12.75">
      <c r="V1369" s="147"/>
    </row>
    <row r="1370" ht="12.75">
      <c r="V1370" s="147"/>
    </row>
    <row r="1371" ht="12.75">
      <c r="V1371" s="147"/>
    </row>
    <row r="1372" ht="12.75">
      <c r="V1372" s="147"/>
    </row>
    <row r="1373" ht="12.75">
      <c r="V1373" s="147"/>
    </row>
    <row r="1374" ht="12.75">
      <c r="V1374" s="147"/>
    </row>
    <row r="1375" ht="12.75">
      <c r="V1375" s="147"/>
    </row>
    <row r="1376" ht="12.75">
      <c r="V1376" s="147"/>
    </row>
    <row r="1377" ht="12.75">
      <c r="V1377" s="147"/>
    </row>
    <row r="1378" ht="12.75">
      <c r="V1378" s="147"/>
    </row>
    <row r="1379" ht="12.75">
      <c r="V1379" s="147"/>
    </row>
    <row r="1380" ht="12.75">
      <c r="V1380" s="147"/>
    </row>
    <row r="1381" ht="12.75">
      <c r="V1381" s="147"/>
    </row>
    <row r="1382" ht="12.75">
      <c r="V1382" s="147"/>
    </row>
    <row r="1383" ht="12.75">
      <c r="V1383" s="147"/>
    </row>
    <row r="1384" ht="12.75">
      <c r="V1384" s="147"/>
    </row>
    <row r="1385" ht="12.75">
      <c r="V1385" s="147"/>
    </row>
    <row r="1386" ht="12.75">
      <c r="V1386" s="147"/>
    </row>
    <row r="1387" ht="12.75">
      <c r="V1387" s="147"/>
    </row>
    <row r="1388" ht="12.75">
      <c r="V1388" s="147"/>
    </row>
    <row r="1389" ht="12.75">
      <c r="V1389" s="147"/>
    </row>
    <row r="1390" ht="12.75">
      <c r="V1390" s="147"/>
    </row>
    <row r="1391" ht="12.75">
      <c r="V1391" s="147"/>
    </row>
    <row r="1392" ht="12.75">
      <c r="V1392" s="147"/>
    </row>
    <row r="1393" ht="12.75">
      <c r="V1393" s="147"/>
    </row>
    <row r="1394" ht="12.75">
      <c r="V1394" s="147"/>
    </row>
    <row r="1395" ht="12.75">
      <c r="V1395" s="147"/>
    </row>
    <row r="1396" ht="12.75">
      <c r="V1396" s="147"/>
    </row>
    <row r="1397" ht="12.75">
      <c r="V1397" s="147"/>
    </row>
    <row r="1398" ht="12.75">
      <c r="V1398" s="147"/>
    </row>
    <row r="1399" ht="12.75">
      <c r="V1399" s="147"/>
    </row>
    <row r="1400" ht="12.75">
      <c r="V1400" s="147"/>
    </row>
    <row r="1401" ht="12.75">
      <c r="V1401" s="147"/>
    </row>
    <row r="1402" ht="12.75">
      <c r="V1402" s="147"/>
    </row>
    <row r="1403" ht="12.75">
      <c r="V1403" s="147"/>
    </row>
    <row r="1404" ht="12.75">
      <c r="V1404" s="147"/>
    </row>
    <row r="1405" ht="12.75">
      <c r="V1405" s="147"/>
    </row>
    <row r="1406" ht="12.75">
      <c r="V1406" s="147"/>
    </row>
    <row r="1407" ht="12.75">
      <c r="V1407" s="147"/>
    </row>
    <row r="1408" ht="12.75">
      <c r="V1408" s="147"/>
    </row>
    <row r="1409" ht="12.75">
      <c r="V1409" s="147"/>
    </row>
    <row r="1410" ht="12.75">
      <c r="V1410" s="147"/>
    </row>
    <row r="1411" ht="12.75">
      <c r="V1411" s="147"/>
    </row>
    <row r="1412" ht="12.75">
      <c r="V1412" s="147"/>
    </row>
    <row r="1413" ht="12.75">
      <c r="V1413" s="147"/>
    </row>
    <row r="1414" ht="12.75">
      <c r="V1414" s="147"/>
    </row>
    <row r="1415" ht="12.75">
      <c r="V1415" s="147"/>
    </row>
    <row r="1416" ht="12.75">
      <c r="V1416" s="147"/>
    </row>
    <row r="1417" ht="12.75">
      <c r="V1417" s="147"/>
    </row>
    <row r="1418" ht="12.75">
      <c r="V1418" s="147"/>
    </row>
    <row r="1419" ht="12.75">
      <c r="V1419" s="147"/>
    </row>
    <row r="1420" ht="12.75">
      <c r="V1420" s="147"/>
    </row>
    <row r="1421" ht="12.75">
      <c r="V1421" s="147"/>
    </row>
    <row r="1422" ht="12.75">
      <c r="V1422" s="147"/>
    </row>
    <row r="1423" ht="12.75">
      <c r="V1423" s="147"/>
    </row>
    <row r="1424" ht="12.75">
      <c r="V1424" s="147"/>
    </row>
    <row r="1425" ht="12.75">
      <c r="V1425" s="147"/>
    </row>
    <row r="1426" ht="12.75">
      <c r="V1426" s="147"/>
    </row>
    <row r="1427" ht="12.75">
      <c r="V1427" s="147"/>
    </row>
    <row r="1428" ht="12.75">
      <c r="V1428" s="147"/>
    </row>
    <row r="1429" ht="12.75">
      <c r="V1429" s="147"/>
    </row>
    <row r="1430" ht="12.75">
      <c r="V1430" s="147"/>
    </row>
    <row r="1431" ht="12.75">
      <c r="V1431" s="147"/>
    </row>
    <row r="1432" ht="12.75">
      <c r="V1432" s="147"/>
    </row>
    <row r="1433" ht="12.75">
      <c r="V1433" s="147"/>
    </row>
    <row r="1434" ht="12.75">
      <c r="V1434" s="147"/>
    </row>
    <row r="1435" ht="12.75">
      <c r="V1435" s="147"/>
    </row>
    <row r="1436" ht="12.75">
      <c r="V1436" s="147"/>
    </row>
    <row r="1437" ht="12.75">
      <c r="V1437" s="147"/>
    </row>
    <row r="1438" ht="12.75">
      <c r="V1438" s="147"/>
    </row>
    <row r="1439" ht="12.75">
      <c r="V1439" s="147"/>
    </row>
    <row r="1440" ht="12.75">
      <c r="V1440" s="147"/>
    </row>
    <row r="1441" ht="12.75">
      <c r="V1441" s="147"/>
    </row>
    <row r="1442" ht="12.75">
      <c r="V1442" s="147"/>
    </row>
    <row r="1443" ht="12.75">
      <c r="V1443" s="147"/>
    </row>
    <row r="1444" ht="12.75">
      <c r="V1444" s="147"/>
    </row>
    <row r="1445" ht="12.75">
      <c r="V1445" s="147"/>
    </row>
    <row r="1446" ht="12.75">
      <c r="V1446" s="147"/>
    </row>
    <row r="1447" ht="12.75">
      <c r="V1447" s="147"/>
    </row>
    <row r="1448" ht="12.75">
      <c r="V1448" s="147"/>
    </row>
    <row r="1449" ht="12.75">
      <c r="V1449" s="147"/>
    </row>
    <row r="1450" ht="12.75">
      <c r="V1450" s="147"/>
    </row>
    <row r="1451" ht="12.75">
      <c r="V1451" s="147"/>
    </row>
    <row r="1452" ht="12.75">
      <c r="V1452" s="147"/>
    </row>
    <row r="1453" ht="12.75">
      <c r="V1453" s="147"/>
    </row>
    <row r="1454" ht="12.75">
      <c r="V1454" s="147"/>
    </row>
    <row r="1455" ht="12.75">
      <c r="V1455" s="147"/>
    </row>
    <row r="1456" ht="12.75">
      <c r="V1456" s="147"/>
    </row>
    <row r="1457" ht="12.75">
      <c r="V1457" s="147"/>
    </row>
    <row r="1458" ht="12.75">
      <c r="V1458" s="147"/>
    </row>
    <row r="1459" ht="12.75">
      <c r="V1459" s="147"/>
    </row>
    <row r="1460" ht="12.75">
      <c r="V1460" s="147"/>
    </row>
    <row r="1461" ht="12.75">
      <c r="V1461" s="147"/>
    </row>
    <row r="1462" ht="12.75">
      <c r="V1462" s="147"/>
    </row>
    <row r="1463" ht="12.75">
      <c r="V1463" s="147"/>
    </row>
    <row r="1464" ht="12.75">
      <c r="V1464" s="147"/>
    </row>
    <row r="1465" ht="12.75">
      <c r="V1465" s="147"/>
    </row>
    <row r="1466" ht="12.75">
      <c r="V1466" s="147"/>
    </row>
    <row r="1467" ht="12.75">
      <c r="V1467" s="147"/>
    </row>
    <row r="1468" ht="12.75">
      <c r="V1468" s="147"/>
    </row>
    <row r="1469" ht="12.75">
      <c r="V1469" s="147"/>
    </row>
    <row r="1470" ht="12.75">
      <c r="V1470" s="147"/>
    </row>
    <row r="1471" ht="12.75">
      <c r="V1471" s="147"/>
    </row>
    <row r="1472" ht="12.75">
      <c r="V1472" s="147"/>
    </row>
    <row r="1473" ht="12.75">
      <c r="V1473" s="147"/>
    </row>
    <row r="1474" ht="12.75">
      <c r="V1474" s="147"/>
    </row>
    <row r="1475" ht="12.75">
      <c r="V1475" s="147"/>
    </row>
    <row r="1476" ht="12.75">
      <c r="V1476" s="147"/>
    </row>
    <row r="1477" ht="12.75">
      <c r="V1477" s="147"/>
    </row>
    <row r="1478" ht="12.75">
      <c r="V1478" s="147"/>
    </row>
    <row r="1479" ht="12.75">
      <c r="V1479" s="147"/>
    </row>
    <row r="1480" ht="12.75">
      <c r="V1480" s="147"/>
    </row>
    <row r="1481" ht="12.75">
      <c r="V1481" s="147"/>
    </row>
    <row r="1482" ht="12.75">
      <c r="V1482" s="147"/>
    </row>
    <row r="1483" ht="12.75">
      <c r="V1483" s="147"/>
    </row>
    <row r="1484" ht="12.75">
      <c r="V1484" s="147"/>
    </row>
    <row r="1485" ht="12.75">
      <c r="V1485" s="147"/>
    </row>
    <row r="1486" ht="12.75">
      <c r="V1486" s="147"/>
    </row>
    <row r="1487" ht="12.75">
      <c r="V1487" s="147"/>
    </row>
    <row r="1488" ht="12.75">
      <c r="V1488" s="147"/>
    </row>
    <row r="1489" ht="12.75">
      <c r="V1489" s="147"/>
    </row>
    <row r="1490" ht="12.75">
      <c r="V1490" s="147"/>
    </row>
    <row r="1491" ht="12.75">
      <c r="V1491" s="147"/>
    </row>
    <row r="1492" ht="12.75">
      <c r="V1492" s="147"/>
    </row>
    <row r="1493" ht="12.75">
      <c r="V1493" s="147"/>
    </row>
    <row r="1494" ht="12.75">
      <c r="V1494" s="147"/>
    </row>
    <row r="1495" ht="12.75">
      <c r="V1495" s="147"/>
    </row>
    <row r="1496" ht="12.75">
      <c r="V1496" s="147"/>
    </row>
    <row r="1497" ht="12.75">
      <c r="V1497" s="147"/>
    </row>
    <row r="1498" ht="12.75">
      <c r="V1498" s="147"/>
    </row>
    <row r="1499" ht="12.75">
      <c r="V1499" s="147"/>
    </row>
    <row r="1500" ht="12.75">
      <c r="V1500" s="147"/>
    </row>
    <row r="1501" ht="12.75">
      <c r="V1501" s="147"/>
    </row>
    <row r="1502" ht="12.75">
      <c r="V1502" s="147"/>
    </row>
    <row r="1503" ht="12.75">
      <c r="V1503" s="147"/>
    </row>
    <row r="1504" ht="12.75">
      <c r="V1504" s="147"/>
    </row>
    <row r="1505" ht="12.75">
      <c r="V1505" s="147"/>
    </row>
    <row r="1506" ht="12.75">
      <c r="V1506" s="147"/>
    </row>
    <row r="1507" ht="12.75">
      <c r="V1507" s="147"/>
    </row>
    <row r="1508" ht="12.75">
      <c r="V1508" s="147"/>
    </row>
    <row r="1509" ht="12.75">
      <c r="V1509" s="147"/>
    </row>
    <row r="1510" ht="12.75">
      <c r="V1510" s="147"/>
    </row>
    <row r="1511" ht="12.75">
      <c r="V1511" s="147"/>
    </row>
    <row r="1512" ht="12.75">
      <c r="V1512" s="147"/>
    </row>
    <row r="1513" ht="12.75">
      <c r="V1513" s="147"/>
    </row>
    <row r="1514" ht="12.75">
      <c r="V1514" s="147"/>
    </row>
    <row r="1515" ht="12.75">
      <c r="V1515" s="147"/>
    </row>
    <row r="1516" ht="12.75">
      <c r="V1516" s="147"/>
    </row>
    <row r="1517" ht="12.75">
      <c r="V1517" s="147"/>
    </row>
    <row r="1518" ht="12.75">
      <c r="V1518" s="147"/>
    </row>
    <row r="1519" ht="12.75">
      <c r="V1519" s="147"/>
    </row>
    <row r="1520" ht="12.75">
      <c r="V1520" s="147"/>
    </row>
    <row r="1521" ht="12.75">
      <c r="V1521" s="147"/>
    </row>
    <row r="1522" ht="12.75">
      <c r="V1522" s="147"/>
    </row>
    <row r="1523" ht="12.75">
      <c r="V1523" s="147"/>
    </row>
    <row r="1524" ht="12.75">
      <c r="V1524" s="147"/>
    </row>
    <row r="1525" ht="12.75">
      <c r="V1525" s="147"/>
    </row>
    <row r="1526" ht="12.75">
      <c r="V1526" s="147"/>
    </row>
    <row r="1527" ht="12.75">
      <c r="V1527" s="147"/>
    </row>
    <row r="1528" ht="12.75">
      <c r="V1528" s="147"/>
    </row>
    <row r="1529" ht="12.75">
      <c r="V1529" s="147"/>
    </row>
    <row r="1530" ht="12.75">
      <c r="V1530" s="147"/>
    </row>
    <row r="1531" ht="12.75">
      <c r="V1531" s="147"/>
    </row>
    <row r="1532" ht="12.75">
      <c r="V1532" s="147"/>
    </row>
    <row r="1533" ht="12.75">
      <c r="V1533" s="147"/>
    </row>
    <row r="1534" ht="12.75">
      <c r="V1534" s="147"/>
    </row>
    <row r="1535" ht="12.75">
      <c r="V1535" s="147"/>
    </row>
    <row r="1536" ht="12.75">
      <c r="V1536" s="147"/>
    </row>
    <row r="1537" ht="12.75">
      <c r="V1537" s="147"/>
    </row>
    <row r="1538" ht="12.75">
      <c r="V1538" s="147"/>
    </row>
    <row r="1539" ht="12.75">
      <c r="V1539" s="147"/>
    </row>
    <row r="1540" ht="12.75">
      <c r="V1540" s="147"/>
    </row>
    <row r="1541" ht="12.75">
      <c r="V1541" s="147"/>
    </row>
    <row r="1542" ht="12.75">
      <c r="V1542" s="147"/>
    </row>
    <row r="1543" ht="12.75">
      <c r="V1543" s="147"/>
    </row>
    <row r="1544" ht="12.75">
      <c r="V1544" s="147"/>
    </row>
    <row r="1545" ht="12.75">
      <c r="V1545" s="147"/>
    </row>
    <row r="1546" ht="12.75">
      <c r="V1546" s="147"/>
    </row>
    <row r="1547" ht="12.75">
      <c r="V1547" s="147"/>
    </row>
    <row r="1548" ht="12.75">
      <c r="V1548" s="147"/>
    </row>
    <row r="1549" ht="12.75">
      <c r="V1549" s="147"/>
    </row>
    <row r="1550" ht="12.75">
      <c r="V1550" s="147"/>
    </row>
    <row r="1551" ht="12.75">
      <c r="V1551" s="147"/>
    </row>
    <row r="1552" ht="12.75">
      <c r="V1552" s="147"/>
    </row>
    <row r="1553" ht="12.75">
      <c r="V1553" s="147"/>
    </row>
    <row r="1554" ht="12.75">
      <c r="V1554" s="147"/>
    </row>
    <row r="1555" ht="12.75">
      <c r="V1555" s="147"/>
    </row>
    <row r="1556" ht="12.75">
      <c r="V1556" s="147"/>
    </row>
    <row r="1557" ht="12.75">
      <c r="V1557" s="147"/>
    </row>
    <row r="1558" ht="12.75">
      <c r="V1558" s="147"/>
    </row>
    <row r="1559" ht="12.75">
      <c r="V1559" s="147"/>
    </row>
    <row r="1560" ht="12.75">
      <c r="V1560" s="147"/>
    </row>
    <row r="1561" ht="12.75">
      <c r="V1561" s="147"/>
    </row>
    <row r="1562" ht="12.75">
      <c r="V1562" s="147"/>
    </row>
    <row r="1563" ht="12.75">
      <c r="V1563" s="147"/>
    </row>
    <row r="1564" ht="12.75">
      <c r="V1564" s="147"/>
    </row>
    <row r="1565" ht="12.75">
      <c r="V1565" s="147"/>
    </row>
    <row r="1566" ht="12.75">
      <c r="V1566" s="147"/>
    </row>
    <row r="1567" ht="12.75">
      <c r="V1567" s="147"/>
    </row>
    <row r="1568" ht="12.75">
      <c r="V1568" s="147"/>
    </row>
    <row r="1569" ht="12.75">
      <c r="V1569" s="147"/>
    </row>
    <row r="1570" ht="12.75">
      <c r="V1570" s="147"/>
    </row>
    <row r="1571" ht="12.75">
      <c r="V1571" s="147"/>
    </row>
    <row r="1572" ht="12.75">
      <c r="V1572" s="147"/>
    </row>
    <row r="1573" ht="12.75">
      <c r="V1573" s="147"/>
    </row>
    <row r="1574" ht="12.75">
      <c r="V1574" s="147"/>
    </row>
    <row r="1575" ht="12.75">
      <c r="V1575" s="147"/>
    </row>
    <row r="1576" ht="12.75">
      <c r="V1576" s="147"/>
    </row>
    <row r="1577" ht="12.75">
      <c r="V1577" s="147"/>
    </row>
    <row r="1578" ht="12.75">
      <c r="V1578" s="147"/>
    </row>
    <row r="1579" ht="12.75">
      <c r="V1579" s="147"/>
    </row>
    <row r="1580" ht="12.75">
      <c r="V1580" s="147"/>
    </row>
    <row r="1581" ht="12.75">
      <c r="V1581" s="147"/>
    </row>
    <row r="1582" ht="12.75">
      <c r="V1582" s="147"/>
    </row>
    <row r="1583" ht="12.75">
      <c r="V1583" s="147"/>
    </row>
    <row r="1584" ht="12.75">
      <c r="V1584" s="147"/>
    </row>
    <row r="1585" ht="12.75">
      <c r="V1585" s="147"/>
    </row>
    <row r="1586" ht="12.75">
      <c r="V1586" s="147"/>
    </row>
    <row r="1587" ht="12.75">
      <c r="V1587" s="147"/>
    </row>
    <row r="1588" ht="12.75">
      <c r="V1588" s="147"/>
    </row>
    <row r="1589" ht="12.75">
      <c r="V1589" s="147"/>
    </row>
    <row r="1590" ht="12.75">
      <c r="V1590" s="147"/>
    </row>
    <row r="1591" ht="12.75">
      <c r="V1591" s="147"/>
    </row>
    <row r="1592" ht="12.75">
      <c r="V1592" s="147"/>
    </row>
    <row r="1593" ht="12.75">
      <c r="V1593" s="147"/>
    </row>
    <row r="1594" ht="12.75">
      <c r="V1594" s="147"/>
    </row>
    <row r="1595" ht="12.75">
      <c r="V1595" s="147"/>
    </row>
    <row r="1596" ht="12.75">
      <c r="V1596" s="147"/>
    </row>
    <row r="1597" ht="12.75">
      <c r="V1597" s="147"/>
    </row>
    <row r="1598" ht="12.75">
      <c r="V1598" s="147"/>
    </row>
    <row r="1599" ht="12.75">
      <c r="V1599" s="147"/>
    </row>
    <row r="1600" ht="12.75">
      <c r="V1600" s="147"/>
    </row>
    <row r="1601" ht="12.75">
      <c r="V1601" s="147"/>
    </row>
    <row r="1602" ht="12.75">
      <c r="V1602" s="147"/>
    </row>
    <row r="1603" ht="12.75">
      <c r="V1603" s="147"/>
    </row>
    <row r="1604" ht="12.75">
      <c r="V1604" s="147"/>
    </row>
    <row r="1605" ht="12.75">
      <c r="V1605" s="147"/>
    </row>
    <row r="1606" ht="12.75">
      <c r="V1606" s="147"/>
    </row>
    <row r="1607" ht="12.75">
      <c r="V1607" s="147"/>
    </row>
    <row r="1608" ht="12.75">
      <c r="V1608" s="147"/>
    </row>
    <row r="1609" ht="12.75">
      <c r="V1609" s="147"/>
    </row>
    <row r="1610" ht="12.75">
      <c r="V1610" s="147"/>
    </row>
    <row r="1611" ht="12.75">
      <c r="V1611" s="147"/>
    </row>
    <row r="1612" ht="12.75">
      <c r="V1612" s="147"/>
    </row>
    <row r="1613" ht="12.75">
      <c r="V1613" s="147"/>
    </row>
    <row r="1614" ht="12.75">
      <c r="V1614" s="147"/>
    </row>
    <row r="1615" ht="12.75">
      <c r="V1615" s="147"/>
    </row>
    <row r="1616" ht="12.75">
      <c r="V1616" s="147"/>
    </row>
    <row r="1617" ht="12.75">
      <c r="V1617" s="147"/>
    </row>
    <row r="1618" ht="12.75">
      <c r="V1618" s="147"/>
    </row>
    <row r="1619" ht="12.75">
      <c r="V1619" s="147"/>
    </row>
    <row r="1620" ht="12.75">
      <c r="V1620" s="147"/>
    </row>
    <row r="1621" ht="12.75">
      <c r="V1621" s="147"/>
    </row>
    <row r="1622" ht="12.75">
      <c r="V1622" s="147"/>
    </row>
    <row r="1623" ht="12.75">
      <c r="V1623" s="147"/>
    </row>
    <row r="1624" ht="12.75">
      <c r="V1624" s="147"/>
    </row>
    <row r="1625" ht="12.75">
      <c r="V1625" s="147"/>
    </row>
    <row r="1626" ht="12.75">
      <c r="V1626" s="147"/>
    </row>
    <row r="1627" ht="12.75">
      <c r="V1627" s="147"/>
    </row>
    <row r="1628" ht="12.75">
      <c r="V1628" s="147"/>
    </row>
    <row r="1629" ht="12.75">
      <c r="V1629" s="147"/>
    </row>
    <row r="1630" ht="12.75">
      <c r="V1630" s="147"/>
    </row>
    <row r="1631" ht="12.75">
      <c r="V1631" s="147"/>
    </row>
    <row r="1632" ht="12.75">
      <c r="V1632" s="147"/>
    </row>
    <row r="1633" ht="12.75">
      <c r="V1633" s="147"/>
    </row>
    <row r="1634" ht="12.75">
      <c r="V1634" s="147"/>
    </row>
    <row r="1635" ht="12.75">
      <c r="V1635" s="147"/>
    </row>
    <row r="1636" ht="12.75">
      <c r="V1636" s="147"/>
    </row>
    <row r="1637" ht="12.75">
      <c r="V1637" s="147"/>
    </row>
    <row r="1638" ht="12.75">
      <c r="V1638" s="147"/>
    </row>
    <row r="1639" ht="12.75">
      <c r="V1639" s="147"/>
    </row>
    <row r="1640" ht="12.75">
      <c r="V1640" s="147"/>
    </row>
    <row r="1641" ht="12.75">
      <c r="V1641" s="147"/>
    </row>
    <row r="1642" ht="12.75">
      <c r="V1642" s="147"/>
    </row>
    <row r="1643" ht="12.75">
      <c r="V1643" s="147"/>
    </row>
    <row r="1644" ht="12.75">
      <c r="V1644" s="147"/>
    </row>
    <row r="1645" ht="12.75">
      <c r="V1645" s="147"/>
    </row>
    <row r="1646" ht="12.75">
      <c r="V1646" s="147"/>
    </row>
    <row r="1647" ht="12.75">
      <c r="V1647" s="147"/>
    </row>
    <row r="1648" ht="12.75">
      <c r="V1648" s="147"/>
    </row>
    <row r="1649" ht="12.75">
      <c r="V1649" s="147"/>
    </row>
    <row r="1650" ht="12.75">
      <c r="V1650" s="147"/>
    </row>
    <row r="1651" ht="12.75">
      <c r="V1651" s="147"/>
    </row>
    <row r="1652" ht="12.75">
      <c r="V1652" s="147"/>
    </row>
    <row r="1653" ht="12.75">
      <c r="V1653" s="147"/>
    </row>
    <row r="1654" ht="12.75">
      <c r="V1654" s="147"/>
    </row>
    <row r="1655" ht="12.75">
      <c r="V1655" s="147"/>
    </row>
    <row r="1656" ht="12.75">
      <c r="V1656" s="147"/>
    </row>
    <row r="1657" ht="12.75">
      <c r="V1657" s="147"/>
    </row>
    <row r="1658" ht="12.75">
      <c r="V1658" s="147"/>
    </row>
    <row r="1659" ht="12.75">
      <c r="V1659" s="147"/>
    </row>
    <row r="1660" ht="12.75">
      <c r="V1660" s="147"/>
    </row>
    <row r="1661" ht="12.75">
      <c r="V1661" s="147"/>
    </row>
    <row r="1662" ht="12.75">
      <c r="V1662" s="147"/>
    </row>
    <row r="1663" ht="12.75">
      <c r="V1663" s="147"/>
    </row>
    <row r="1664" ht="12.75">
      <c r="V1664" s="147"/>
    </row>
    <row r="1665" ht="12.75">
      <c r="V1665" s="147"/>
    </row>
    <row r="1666" ht="12.75">
      <c r="V1666" s="147"/>
    </row>
    <row r="1667" ht="12.75">
      <c r="V1667" s="147"/>
    </row>
    <row r="1668" ht="12.75">
      <c r="V1668" s="147"/>
    </row>
    <row r="1669" ht="12.75">
      <c r="V1669" s="147"/>
    </row>
    <row r="1670" ht="12.75">
      <c r="V1670" s="147"/>
    </row>
    <row r="1671" ht="12.75">
      <c r="V1671" s="147"/>
    </row>
    <row r="1672" ht="12.75">
      <c r="V1672" s="147"/>
    </row>
    <row r="1673" ht="12.75">
      <c r="V1673" s="147"/>
    </row>
    <row r="1674" ht="12.75">
      <c r="V1674" s="147"/>
    </row>
    <row r="1675" ht="12.75">
      <c r="V1675" s="147"/>
    </row>
    <row r="1676" ht="12.75">
      <c r="V1676" s="147"/>
    </row>
    <row r="1677" ht="12.75">
      <c r="V1677" s="147"/>
    </row>
    <row r="1678" ht="12.75">
      <c r="V1678" s="147"/>
    </row>
    <row r="1679" ht="12.75">
      <c r="V1679" s="147"/>
    </row>
    <row r="1680" ht="12.75">
      <c r="V1680" s="147"/>
    </row>
    <row r="1681" ht="12.75">
      <c r="V1681" s="147"/>
    </row>
    <row r="1682" ht="12.75">
      <c r="V1682" s="147"/>
    </row>
    <row r="1683" ht="12.75">
      <c r="V1683" s="147"/>
    </row>
    <row r="1684" ht="12.75">
      <c r="V1684" s="147"/>
    </row>
    <row r="1685" ht="12.75">
      <c r="V1685" s="147"/>
    </row>
    <row r="1686" ht="12.75">
      <c r="V1686" s="147"/>
    </row>
    <row r="1687" ht="12.75">
      <c r="V1687" s="147"/>
    </row>
    <row r="1688" ht="12.75">
      <c r="V1688" s="147"/>
    </row>
    <row r="1689" ht="12.75">
      <c r="V1689" s="147"/>
    </row>
    <row r="1690" ht="12.75">
      <c r="V1690" s="147"/>
    </row>
    <row r="1691" ht="12.75">
      <c r="V1691" s="147"/>
    </row>
    <row r="1692" ht="12.75">
      <c r="V1692" s="147"/>
    </row>
    <row r="1693" ht="12.75">
      <c r="V1693" s="147"/>
    </row>
    <row r="1694" ht="12.75">
      <c r="V1694" s="147"/>
    </row>
    <row r="1695" ht="12.75">
      <c r="V1695" s="147"/>
    </row>
    <row r="1696" ht="12.75">
      <c r="V1696" s="147"/>
    </row>
    <row r="1697" ht="12.75">
      <c r="V1697" s="147"/>
    </row>
    <row r="1698" ht="12.75">
      <c r="V1698" s="147"/>
    </row>
    <row r="1699" ht="12.75">
      <c r="V1699" s="147"/>
    </row>
    <row r="1700" ht="12.75">
      <c r="V1700" s="147"/>
    </row>
    <row r="1701" ht="12.75">
      <c r="V1701" s="147"/>
    </row>
    <row r="1702" ht="12.75">
      <c r="V1702" s="147"/>
    </row>
    <row r="1703" ht="12.75">
      <c r="V1703" s="147"/>
    </row>
    <row r="1704" ht="12.75">
      <c r="V1704" s="147"/>
    </row>
    <row r="1705" ht="12.75">
      <c r="V1705" s="147"/>
    </row>
    <row r="1706" ht="12.75">
      <c r="V1706" s="147"/>
    </row>
    <row r="1707" ht="12.75">
      <c r="V1707" s="147"/>
    </row>
    <row r="1708" ht="12.75">
      <c r="V1708" s="147"/>
    </row>
    <row r="1709" ht="12.75">
      <c r="V1709" s="147"/>
    </row>
    <row r="1710" ht="12.75">
      <c r="V1710" s="147"/>
    </row>
    <row r="1711" ht="12.75">
      <c r="V1711" s="147"/>
    </row>
    <row r="1712" ht="12.75">
      <c r="V1712" s="147"/>
    </row>
    <row r="1713" ht="12.75">
      <c r="V1713" s="147"/>
    </row>
    <row r="1714" ht="12.75">
      <c r="V1714" s="147"/>
    </row>
    <row r="1715" ht="12.75">
      <c r="V1715" s="147"/>
    </row>
    <row r="1716" ht="12.75">
      <c r="V1716" s="147"/>
    </row>
    <row r="1717" ht="12.75">
      <c r="V1717" s="147"/>
    </row>
    <row r="1718" ht="12.75">
      <c r="V1718" s="147"/>
    </row>
    <row r="1719" ht="12.75">
      <c r="V1719" s="147"/>
    </row>
    <row r="1720" ht="12.75">
      <c r="V1720" s="147"/>
    </row>
    <row r="1721" ht="12.75">
      <c r="V1721" s="147"/>
    </row>
    <row r="1722" ht="12.75">
      <c r="V1722" s="147"/>
    </row>
    <row r="1723" ht="12.75">
      <c r="V1723" s="147"/>
    </row>
    <row r="1724" ht="12.75">
      <c r="V1724" s="147"/>
    </row>
    <row r="1725" ht="12.75">
      <c r="V1725" s="147"/>
    </row>
    <row r="1726" ht="12.75">
      <c r="V1726" s="147"/>
    </row>
    <row r="1727" ht="12.75">
      <c r="V1727" s="147"/>
    </row>
    <row r="1728" ht="12.75">
      <c r="V1728" s="147"/>
    </row>
    <row r="1729" ht="12.75">
      <c r="V1729" s="147"/>
    </row>
    <row r="1730" ht="12.75">
      <c r="V1730" s="147"/>
    </row>
    <row r="1731" ht="12.75">
      <c r="V1731" s="147"/>
    </row>
    <row r="1732" ht="12.75">
      <c r="V1732" s="147"/>
    </row>
    <row r="1733" ht="12.75">
      <c r="V1733" s="147"/>
    </row>
    <row r="1734" ht="12.75">
      <c r="V1734" s="147"/>
    </row>
    <row r="1735" ht="12.75">
      <c r="V1735" s="147"/>
    </row>
    <row r="1736" ht="12.75">
      <c r="V1736" s="147"/>
    </row>
    <row r="1737" ht="12.75">
      <c r="V1737" s="147"/>
    </row>
    <row r="1738" ht="12.75">
      <c r="V1738" s="147"/>
    </row>
    <row r="1739" ht="12.75">
      <c r="V1739" s="147"/>
    </row>
    <row r="1740" ht="12.75">
      <c r="V1740" s="147"/>
    </row>
    <row r="1741" ht="12.75">
      <c r="V1741" s="147"/>
    </row>
    <row r="1742" ht="12.75">
      <c r="V1742" s="147"/>
    </row>
    <row r="1743" ht="12.75">
      <c r="V1743" s="147"/>
    </row>
    <row r="1744" ht="12.75">
      <c r="V1744" s="147"/>
    </row>
    <row r="1745" ht="12.75">
      <c r="V1745" s="147"/>
    </row>
    <row r="1746" ht="12.75">
      <c r="V1746" s="147"/>
    </row>
    <row r="1747" ht="12.75">
      <c r="V1747" s="147"/>
    </row>
    <row r="1748" ht="12.75">
      <c r="V1748" s="147"/>
    </row>
    <row r="1749" ht="12.75">
      <c r="V1749" s="147"/>
    </row>
    <row r="1750" ht="12.75">
      <c r="V1750" s="147"/>
    </row>
    <row r="1751" ht="12.75">
      <c r="V1751" s="147"/>
    </row>
    <row r="1752" ht="12.75">
      <c r="V1752" s="147"/>
    </row>
    <row r="1753" ht="12.75">
      <c r="V1753" s="147"/>
    </row>
    <row r="1754" ht="12.75">
      <c r="V1754" s="147"/>
    </row>
    <row r="1755" ht="12.75">
      <c r="V1755" s="147"/>
    </row>
    <row r="1756" ht="12.75">
      <c r="V1756" s="147"/>
    </row>
    <row r="1757" ht="12.75">
      <c r="V1757" s="147"/>
    </row>
    <row r="1758" ht="12.75">
      <c r="V1758" s="147"/>
    </row>
    <row r="1759" ht="12.75">
      <c r="V1759" s="147"/>
    </row>
    <row r="1760" ht="12.75">
      <c r="V1760" s="147"/>
    </row>
    <row r="1761" ht="12.75">
      <c r="V1761" s="147"/>
    </row>
    <row r="1762" ht="12.75">
      <c r="V1762" s="147"/>
    </row>
    <row r="1763" ht="12.75">
      <c r="V1763" s="147"/>
    </row>
    <row r="1764" ht="12.75">
      <c r="V1764" s="147"/>
    </row>
    <row r="1765" ht="12.75">
      <c r="V1765" s="147"/>
    </row>
    <row r="1766" ht="12.75">
      <c r="V1766" s="147"/>
    </row>
    <row r="1767" ht="12.75">
      <c r="V1767" s="147"/>
    </row>
    <row r="1768" ht="12.75">
      <c r="V1768" s="147"/>
    </row>
    <row r="1769" ht="12.75">
      <c r="V1769" s="147"/>
    </row>
    <row r="1770" ht="12.75">
      <c r="V1770" s="147"/>
    </row>
    <row r="1771" ht="12.75">
      <c r="V1771" s="147"/>
    </row>
    <row r="1772" ht="12.75">
      <c r="V1772" s="147"/>
    </row>
    <row r="1773" ht="12.75">
      <c r="V1773" s="147"/>
    </row>
    <row r="1774" ht="12.75">
      <c r="V1774" s="147"/>
    </row>
    <row r="1775" ht="12.75">
      <c r="V1775" s="147"/>
    </row>
    <row r="1776" ht="12.75">
      <c r="V1776" s="147"/>
    </row>
    <row r="1777" ht="12.75">
      <c r="V1777" s="147"/>
    </row>
    <row r="1778" ht="12.75">
      <c r="V1778" s="147"/>
    </row>
    <row r="1779" ht="12.75">
      <c r="V1779" s="147"/>
    </row>
    <row r="1780" ht="12.75">
      <c r="V1780" s="147"/>
    </row>
    <row r="1781" ht="12.75">
      <c r="V1781" s="147"/>
    </row>
    <row r="1782" ht="12.75">
      <c r="V1782" s="147"/>
    </row>
    <row r="1783" ht="12.75">
      <c r="V1783" s="147"/>
    </row>
    <row r="1784" ht="12.75">
      <c r="V1784" s="147"/>
    </row>
    <row r="1785" ht="12.75">
      <c r="V1785" s="147"/>
    </row>
    <row r="1786" ht="12.75">
      <c r="V1786" s="147"/>
    </row>
    <row r="1787" ht="12.75">
      <c r="V1787" s="147"/>
    </row>
    <row r="1788" ht="12.75">
      <c r="V1788" s="147"/>
    </row>
    <row r="1789" ht="12.75">
      <c r="V1789" s="147"/>
    </row>
    <row r="1790" ht="12.75">
      <c r="V1790" s="147"/>
    </row>
    <row r="1791" ht="12.75">
      <c r="V1791" s="147"/>
    </row>
    <row r="1792" ht="12.75">
      <c r="V1792" s="147"/>
    </row>
    <row r="1793" ht="12.75">
      <c r="V1793" s="147"/>
    </row>
    <row r="1794" ht="12.75">
      <c r="V1794" s="147"/>
    </row>
    <row r="1795" ht="12.75">
      <c r="V1795" s="147"/>
    </row>
    <row r="1796" ht="12.75">
      <c r="V1796" s="147"/>
    </row>
    <row r="1797" ht="12.75">
      <c r="V1797" s="147"/>
    </row>
    <row r="1798" ht="12.75">
      <c r="V1798" s="147"/>
    </row>
    <row r="1799" ht="12.75">
      <c r="V1799" s="147"/>
    </row>
    <row r="1800" ht="12.75">
      <c r="V1800" s="147"/>
    </row>
    <row r="1801" ht="12.75">
      <c r="V1801" s="147"/>
    </row>
    <row r="1802" ht="12.75">
      <c r="V1802" s="147"/>
    </row>
    <row r="1803" ht="12.75">
      <c r="V1803" s="147"/>
    </row>
    <row r="1804" ht="12.75">
      <c r="V1804" s="147"/>
    </row>
    <row r="1805" ht="12.75">
      <c r="V1805" s="147"/>
    </row>
    <row r="1806" ht="12.75">
      <c r="V1806" s="147"/>
    </row>
    <row r="1807" ht="12.75">
      <c r="V1807" s="147"/>
    </row>
    <row r="1808" ht="12.75">
      <c r="V1808" s="147"/>
    </row>
    <row r="1809" ht="12.75">
      <c r="V1809" s="147"/>
    </row>
    <row r="1810" ht="12.75">
      <c r="V1810" s="147"/>
    </row>
    <row r="1811" ht="12.75">
      <c r="V1811" s="147"/>
    </row>
    <row r="1812" ht="12.75">
      <c r="V1812" s="147"/>
    </row>
    <row r="1813" ht="12.75">
      <c r="V1813" s="147"/>
    </row>
    <row r="1814" ht="12.75">
      <c r="V1814" s="147"/>
    </row>
    <row r="1815" ht="12.75">
      <c r="V1815" s="147"/>
    </row>
    <row r="1816" ht="12.75">
      <c r="V1816" s="147"/>
    </row>
    <row r="1817" ht="12.75">
      <c r="V1817" s="147"/>
    </row>
    <row r="1818" ht="12.75">
      <c r="V1818" s="147"/>
    </row>
    <row r="1819" ht="12.75">
      <c r="V1819" s="147"/>
    </row>
    <row r="1820" ht="12.75">
      <c r="V1820" s="147"/>
    </row>
    <row r="1821" ht="12.75">
      <c r="V1821" s="147"/>
    </row>
    <row r="1822" ht="12.75">
      <c r="V1822" s="147"/>
    </row>
    <row r="1823" ht="12.75">
      <c r="V1823" s="147"/>
    </row>
    <row r="1824" ht="12.75">
      <c r="V1824" s="147"/>
    </row>
    <row r="1825" ht="12.75">
      <c r="V1825" s="147"/>
    </row>
    <row r="1826" ht="12.75">
      <c r="V1826" s="147"/>
    </row>
    <row r="1827" ht="12.75">
      <c r="V1827" s="147"/>
    </row>
    <row r="1828" ht="12.75">
      <c r="V1828" s="147"/>
    </row>
    <row r="1829" ht="12.75">
      <c r="V1829" s="147"/>
    </row>
    <row r="1830" ht="12.75">
      <c r="V1830" s="147"/>
    </row>
    <row r="1831" ht="12.75">
      <c r="V1831" s="147"/>
    </row>
    <row r="1832" ht="12.75">
      <c r="V1832" s="147"/>
    </row>
    <row r="1833" ht="12.75">
      <c r="V1833" s="147"/>
    </row>
    <row r="1834" ht="12.75">
      <c r="V1834" s="147"/>
    </row>
    <row r="1835" ht="12.75">
      <c r="V1835" s="147"/>
    </row>
    <row r="1836" ht="12.75">
      <c r="V1836" s="147"/>
    </row>
    <row r="1837" ht="12.75">
      <c r="V1837" s="147"/>
    </row>
    <row r="1838" ht="12.75">
      <c r="V1838" s="147"/>
    </row>
    <row r="1839" ht="12.75">
      <c r="V1839" s="147"/>
    </row>
    <row r="1840" ht="12.75">
      <c r="V1840" s="147"/>
    </row>
    <row r="1841" ht="12.75">
      <c r="V1841" s="147"/>
    </row>
    <row r="1842" ht="12.75">
      <c r="V1842" s="147"/>
    </row>
    <row r="1843" ht="12.75">
      <c r="V1843" s="147"/>
    </row>
    <row r="1844" ht="12.75">
      <c r="V1844" s="147"/>
    </row>
    <row r="1845" ht="12.75">
      <c r="V1845" s="147"/>
    </row>
    <row r="1846" ht="12.75">
      <c r="V1846" s="147"/>
    </row>
    <row r="1847" ht="12.75">
      <c r="V1847" s="147"/>
    </row>
    <row r="1848" ht="12.75">
      <c r="V1848" s="147"/>
    </row>
    <row r="1849" ht="12.75">
      <c r="V1849" s="147"/>
    </row>
    <row r="1850" ht="12.75">
      <c r="V1850" s="147"/>
    </row>
    <row r="1851" ht="12.75">
      <c r="V1851" s="147"/>
    </row>
    <row r="1852" ht="12.75">
      <c r="V1852" s="147"/>
    </row>
    <row r="1853" ht="12.75">
      <c r="V1853" s="147"/>
    </row>
    <row r="1854" ht="12.75">
      <c r="V1854" s="147"/>
    </row>
    <row r="1855" ht="12.75">
      <c r="V1855" s="147"/>
    </row>
    <row r="1856" ht="12.75">
      <c r="V1856" s="147"/>
    </row>
    <row r="1857" ht="12.75">
      <c r="V1857" s="147"/>
    </row>
    <row r="1858" ht="12.75">
      <c r="V1858" s="147"/>
    </row>
    <row r="1859" ht="12.75">
      <c r="V1859" s="147"/>
    </row>
    <row r="1860" ht="12.75">
      <c r="V1860" s="147"/>
    </row>
    <row r="1861" ht="12.75">
      <c r="V1861" s="147"/>
    </row>
    <row r="1862" ht="12.75">
      <c r="V1862" s="147"/>
    </row>
    <row r="1863" ht="12.75">
      <c r="V1863" s="147"/>
    </row>
    <row r="1864" ht="12.75">
      <c r="V1864" s="147"/>
    </row>
    <row r="1865" ht="12.75">
      <c r="V1865" s="147"/>
    </row>
    <row r="1866" ht="12.75">
      <c r="V1866" s="147"/>
    </row>
    <row r="1867" ht="12.75">
      <c r="V1867" s="147"/>
    </row>
    <row r="1868" ht="12.75">
      <c r="V1868" s="147"/>
    </row>
    <row r="1869" ht="12.75">
      <c r="V1869" s="147"/>
    </row>
    <row r="1870" ht="12.75">
      <c r="V1870" s="147"/>
    </row>
    <row r="1871" ht="12.75">
      <c r="V1871" s="147"/>
    </row>
    <row r="1872" ht="12.75">
      <c r="V1872" s="147"/>
    </row>
    <row r="1873" ht="12.75">
      <c r="V1873" s="147"/>
    </row>
    <row r="1874" ht="12.75">
      <c r="V1874" s="147"/>
    </row>
    <row r="1875" ht="12.75">
      <c r="V1875" s="147"/>
    </row>
    <row r="1876" ht="12.75">
      <c r="V1876" s="147"/>
    </row>
    <row r="1877" ht="12.75">
      <c r="V1877" s="147"/>
    </row>
    <row r="1878" ht="12.75">
      <c r="V1878" s="147"/>
    </row>
    <row r="1879" ht="12.75">
      <c r="V1879" s="147"/>
    </row>
    <row r="1880" ht="12.75">
      <c r="V1880" s="147"/>
    </row>
    <row r="1881" ht="12.75">
      <c r="V1881" s="147"/>
    </row>
    <row r="1882" ht="12.75">
      <c r="V1882" s="147"/>
    </row>
    <row r="1883" ht="12.75">
      <c r="V1883" s="147"/>
    </row>
    <row r="1884" ht="12.75">
      <c r="V1884" s="147"/>
    </row>
    <row r="1885" ht="12.75">
      <c r="V1885" s="147"/>
    </row>
    <row r="1886" ht="12.75">
      <c r="V1886" s="147"/>
    </row>
    <row r="1887" ht="12.75">
      <c r="V1887" s="147"/>
    </row>
    <row r="1888" ht="12.75">
      <c r="V1888" s="147"/>
    </row>
    <row r="1889" ht="12.75">
      <c r="V1889" s="147"/>
    </row>
    <row r="1890" ht="12.75">
      <c r="V1890" s="147"/>
    </row>
    <row r="1891" ht="12.75">
      <c r="V1891" s="147"/>
    </row>
    <row r="1892" ht="12.75">
      <c r="V1892" s="147"/>
    </row>
    <row r="1893" ht="12.75">
      <c r="V1893" s="147"/>
    </row>
    <row r="1894" ht="12.75">
      <c r="V1894" s="147"/>
    </row>
    <row r="1895" ht="12.75">
      <c r="V1895" s="147"/>
    </row>
    <row r="1896" ht="12.75">
      <c r="V1896" s="147"/>
    </row>
    <row r="1897" ht="12.75">
      <c r="V1897" s="147"/>
    </row>
    <row r="1898" ht="12.75">
      <c r="V1898" s="147"/>
    </row>
    <row r="1899" ht="12.75">
      <c r="V1899" s="147"/>
    </row>
    <row r="1900" ht="12.75">
      <c r="V1900" s="147"/>
    </row>
    <row r="1901" ht="12.75">
      <c r="V1901" s="147"/>
    </row>
    <row r="1902" ht="12.75">
      <c r="V1902" s="147"/>
    </row>
    <row r="1903" ht="12.75">
      <c r="V1903" s="147"/>
    </row>
    <row r="1904" ht="12.75">
      <c r="V1904" s="147"/>
    </row>
    <row r="1905" ht="12.75">
      <c r="V1905" s="147"/>
    </row>
    <row r="1906" ht="12.75">
      <c r="V1906" s="147"/>
    </row>
    <row r="1907" ht="12.75">
      <c r="V1907" s="147"/>
    </row>
    <row r="1908" ht="12.75">
      <c r="V1908" s="147"/>
    </row>
    <row r="1909" ht="12.75">
      <c r="V1909" s="147"/>
    </row>
    <row r="1910" ht="12.75">
      <c r="V1910" s="147"/>
    </row>
    <row r="1911" ht="12.75">
      <c r="V1911" s="147"/>
    </row>
    <row r="1912" ht="12.75">
      <c r="V1912" s="147"/>
    </row>
    <row r="1913" ht="12.75">
      <c r="V1913" s="147"/>
    </row>
    <row r="1914" ht="12.75">
      <c r="V1914" s="147"/>
    </row>
    <row r="1915" ht="12.75">
      <c r="V1915" s="147"/>
    </row>
    <row r="1916" ht="12.75">
      <c r="V1916" s="147"/>
    </row>
    <row r="1917" ht="12.75">
      <c r="V1917" s="147"/>
    </row>
    <row r="1918" ht="12.75">
      <c r="V1918" s="147"/>
    </row>
    <row r="1919" ht="12.75">
      <c r="V1919" s="147"/>
    </row>
    <row r="1920" ht="12.75">
      <c r="V1920" s="147"/>
    </row>
    <row r="1921" ht="12.75">
      <c r="V1921" s="147"/>
    </row>
    <row r="1922" ht="12.75">
      <c r="V1922" s="147"/>
    </row>
    <row r="1923" ht="12.75">
      <c r="V1923" s="147"/>
    </row>
    <row r="1924" ht="12.75">
      <c r="V1924" s="147"/>
    </row>
    <row r="1925" ht="12.75">
      <c r="V1925" s="147"/>
    </row>
    <row r="1926" ht="12.75">
      <c r="V1926" s="147"/>
    </row>
    <row r="1927" ht="12.75">
      <c r="V1927" s="147"/>
    </row>
    <row r="1928" ht="12.75">
      <c r="V1928" s="147"/>
    </row>
    <row r="1929" ht="12.75">
      <c r="V1929" s="147"/>
    </row>
    <row r="1930" ht="12.75">
      <c r="V1930" s="147"/>
    </row>
    <row r="1931" ht="12.75">
      <c r="V1931" s="147"/>
    </row>
    <row r="1932" ht="12.75">
      <c r="V1932" s="147"/>
    </row>
    <row r="1933" ht="12.75">
      <c r="V1933" s="147"/>
    </row>
    <row r="1934" ht="12.75">
      <c r="V1934" s="147"/>
    </row>
    <row r="1935" ht="12.75">
      <c r="V1935" s="147"/>
    </row>
    <row r="1936" ht="12.75">
      <c r="V1936" s="147"/>
    </row>
    <row r="1937" ht="12.75">
      <c r="V1937" s="147"/>
    </row>
    <row r="1938" ht="12.75">
      <c r="V1938" s="147"/>
    </row>
    <row r="1939" ht="12.75">
      <c r="V1939" s="147"/>
    </row>
    <row r="1940" ht="12.75">
      <c r="V1940" s="147"/>
    </row>
    <row r="1941" ht="12.75">
      <c r="V1941" s="147"/>
    </row>
    <row r="1942" ht="12.75">
      <c r="V1942" s="147"/>
    </row>
    <row r="1943" ht="12.75">
      <c r="V1943" s="147"/>
    </row>
    <row r="1944" ht="12.75">
      <c r="V1944" s="147"/>
    </row>
    <row r="1945" ht="12.75">
      <c r="V1945" s="147"/>
    </row>
    <row r="1946" ht="12.75">
      <c r="V1946" s="147"/>
    </row>
    <row r="1947" ht="12.75">
      <c r="V1947" s="147"/>
    </row>
    <row r="1948" ht="12.75">
      <c r="V1948" s="147"/>
    </row>
    <row r="1949" ht="12.75">
      <c r="V1949" s="147"/>
    </row>
    <row r="1950" ht="12.75">
      <c r="V1950" s="147"/>
    </row>
    <row r="1951" ht="12.75">
      <c r="V1951" s="147"/>
    </row>
    <row r="1952" ht="12.75">
      <c r="V1952" s="147"/>
    </row>
    <row r="1953" ht="12.75">
      <c r="V1953" s="147"/>
    </row>
    <row r="1954" ht="12.75">
      <c r="V1954" s="147"/>
    </row>
    <row r="1955" ht="12.75">
      <c r="V1955" s="147"/>
    </row>
    <row r="1956" ht="12.75">
      <c r="V1956" s="147"/>
    </row>
    <row r="1957" ht="12.75">
      <c r="V1957" s="147"/>
    </row>
    <row r="1958" ht="12.75">
      <c r="V1958" s="147"/>
    </row>
    <row r="1959" ht="12.75">
      <c r="V1959" s="147"/>
    </row>
    <row r="1960" ht="12.75">
      <c r="V1960" s="147"/>
    </row>
    <row r="1961" ht="12.75">
      <c r="V1961" s="147"/>
    </row>
    <row r="1962" ht="12.75">
      <c r="V1962" s="147"/>
    </row>
    <row r="1963" ht="12.75">
      <c r="V1963" s="147"/>
    </row>
    <row r="1964" ht="12.75">
      <c r="V1964" s="147"/>
    </row>
    <row r="1965" ht="12.75">
      <c r="V1965" s="147"/>
    </row>
    <row r="1966" ht="12.75">
      <c r="V1966" s="147"/>
    </row>
    <row r="1967" ht="12.75">
      <c r="V1967" s="147"/>
    </row>
    <row r="1968" ht="12.75">
      <c r="V1968" s="147"/>
    </row>
    <row r="1969" ht="12.75">
      <c r="V1969" s="147"/>
    </row>
    <row r="1970" ht="12.75">
      <c r="V1970" s="147"/>
    </row>
    <row r="1971" ht="12.75">
      <c r="V1971" s="147"/>
    </row>
    <row r="1972" ht="12.75">
      <c r="V1972" s="147"/>
    </row>
    <row r="1973" ht="12.75">
      <c r="V1973" s="147"/>
    </row>
    <row r="1974" ht="12.75">
      <c r="V1974" s="147"/>
    </row>
    <row r="1975" ht="12.75">
      <c r="V1975" s="147"/>
    </row>
    <row r="1976" ht="12.75">
      <c r="V1976" s="147"/>
    </row>
    <row r="1977" ht="12.75">
      <c r="V1977" s="147"/>
    </row>
    <row r="1978" ht="12.75">
      <c r="V1978" s="147"/>
    </row>
    <row r="1979" ht="12.75">
      <c r="V1979" s="147"/>
    </row>
    <row r="1980" ht="12.75">
      <c r="V1980" s="147"/>
    </row>
    <row r="1981" ht="12.75">
      <c r="V1981" s="147"/>
    </row>
    <row r="1982" ht="12.75">
      <c r="V1982" s="147"/>
    </row>
    <row r="1983" ht="12.75">
      <c r="V1983" s="147"/>
    </row>
    <row r="1984" ht="12.75">
      <c r="V1984" s="147"/>
    </row>
    <row r="1985" ht="12.75">
      <c r="V1985" s="147"/>
    </row>
    <row r="1986" ht="12.75">
      <c r="V1986" s="147"/>
    </row>
    <row r="1987" ht="12.75">
      <c r="V1987" s="147"/>
    </row>
    <row r="1988" ht="12.75">
      <c r="V1988" s="147"/>
    </row>
    <row r="1989" ht="12.75">
      <c r="V1989" s="147"/>
    </row>
    <row r="1990" ht="12.75">
      <c r="V1990" s="147"/>
    </row>
    <row r="1991" ht="12.75">
      <c r="V1991" s="147"/>
    </row>
    <row r="1992" ht="12.75">
      <c r="V1992" s="147"/>
    </row>
    <row r="1993" ht="12.75">
      <c r="V1993" s="147"/>
    </row>
    <row r="1994" ht="12.75">
      <c r="V1994" s="147"/>
    </row>
    <row r="1995" ht="12.75">
      <c r="V1995" s="147"/>
    </row>
    <row r="1996" ht="12.75">
      <c r="V1996" s="147"/>
    </row>
    <row r="1997" ht="12.75">
      <c r="V1997" s="147"/>
    </row>
    <row r="1998" ht="12.75">
      <c r="V1998" s="147"/>
    </row>
    <row r="1999" ht="12.75">
      <c r="V1999" s="147"/>
    </row>
    <row r="2000" ht="12.75">
      <c r="V2000" s="147"/>
    </row>
    <row r="2001" ht="12.75">
      <c r="V2001" s="147"/>
    </row>
    <row r="2002" ht="12.75">
      <c r="V2002" s="147"/>
    </row>
    <row r="2003" ht="12.75">
      <c r="V2003" s="147"/>
    </row>
    <row r="2004" ht="12.75">
      <c r="V2004" s="147"/>
    </row>
    <row r="2005" ht="12.75">
      <c r="V2005" s="147"/>
    </row>
    <row r="2006" ht="12.75">
      <c r="V2006" s="147"/>
    </row>
    <row r="2007" ht="12.75">
      <c r="V2007" s="147"/>
    </row>
    <row r="2008" ht="12.75">
      <c r="V2008" s="147"/>
    </row>
    <row r="2009" ht="12.75">
      <c r="V2009" s="147"/>
    </row>
    <row r="2010" ht="12.75">
      <c r="V2010" s="147"/>
    </row>
    <row r="2011" ht="12.75">
      <c r="V2011" s="147"/>
    </row>
    <row r="2012" ht="12.75">
      <c r="V2012" s="147"/>
    </row>
    <row r="2013" ht="12.75">
      <c r="V2013" s="147"/>
    </row>
    <row r="2014" ht="12.75">
      <c r="V2014" s="147"/>
    </row>
    <row r="2015" ht="12.75">
      <c r="V2015" s="147"/>
    </row>
    <row r="2016" ht="12.75">
      <c r="V2016" s="147"/>
    </row>
    <row r="2017" ht="12.75">
      <c r="V2017" s="147"/>
    </row>
    <row r="2018" ht="12.75">
      <c r="V2018" s="147"/>
    </row>
    <row r="2019" ht="12.75">
      <c r="V2019" s="147"/>
    </row>
    <row r="2020" ht="12.75">
      <c r="V2020" s="147"/>
    </row>
    <row r="2021" ht="12.75">
      <c r="V2021" s="147"/>
    </row>
    <row r="2022" ht="12.75">
      <c r="V2022" s="147"/>
    </row>
    <row r="2023" ht="12.75">
      <c r="V2023" s="147"/>
    </row>
    <row r="2024" ht="12.75">
      <c r="V2024" s="147"/>
    </row>
    <row r="2025" ht="12.75">
      <c r="V2025" s="147"/>
    </row>
    <row r="2026" ht="12.75">
      <c r="V2026" s="147"/>
    </row>
    <row r="2027" ht="12.75">
      <c r="V2027" s="147"/>
    </row>
    <row r="2028" ht="12.75">
      <c r="V2028" s="147"/>
    </row>
    <row r="2029" ht="12.75">
      <c r="V2029" s="147"/>
    </row>
    <row r="2030" ht="12.75">
      <c r="V2030" s="147"/>
    </row>
    <row r="2031" ht="12.75">
      <c r="V2031" s="147"/>
    </row>
    <row r="2032" ht="12.75">
      <c r="V2032" s="147"/>
    </row>
    <row r="2033" ht="12.75">
      <c r="V2033" s="147"/>
    </row>
    <row r="2034" ht="12.75">
      <c r="V2034" s="147"/>
    </row>
    <row r="2035" ht="12.75">
      <c r="V2035" s="147"/>
    </row>
    <row r="2036" ht="12.75">
      <c r="V2036" s="147"/>
    </row>
    <row r="2037" ht="12.75">
      <c r="V2037" s="147"/>
    </row>
    <row r="2038" ht="12.75">
      <c r="V2038" s="147"/>
    </row>
    <row r="2039" ht="12.75">
      <c r="V2039" s="147"/>
    </row>
    <row r="2040" ht="12.75">
      <c r="V2040" s="147"/>
    </row>
    <row r="2041" ht="12.75">
      <c r="V2041" s="147"/>
    </row>
    <row r="2042" ht="12.75">
      <c r="V2042" s="147"/>
    </row>
    <row r="2043" ht="12.75">
      <c r="V2043" s="147"/>
    </row>
    <row r="2044" ht="12.75">
      <c r="V2044" s="147"/>
    </row>
    <row r="2045" ht="12.75">
      <c r="V2045" s="147"/>
    </row>
    <row r="2046" ht="12.75">
      <c r="V2046" s="147"/>
    </row>
    <row r="2047" ht="12.75">
      <c r="V2047" s="147"/>
    </row>
    <row r="2048" ht="12.75">
      <c r="V2048" s="147"/>
    </row>
    <row r="2049" ht="12.75">
      <c r="V2049" s="147"/>
    </row>
    <row r="2050" ht="12.75">
      <c r="V2050" s="147"/>
    </row>
    <row r="2051" ht="12.75">
      <c r="V2051" s="147"/>
    </row>
    <row r="2052" ht="12.75">
      <c r="V2052" s="147"/>
    </row>
    <row r="2053" ht="12.75">
      <c r="V2053" s="147"/>
    </row>
    <row r="2054" ht="12.75">
      <c r="V2054" s="147"/>
    </row>
    <row r="2055" ht="12.75">
      <c r="V2055" s="147"/>
    </row>
    <row r="2056" ht="12.75">
      <c r="V2056" s="147"/>
    </row>
    <row r="2057" ht="12.75">
      <c r="V2057" s="147"/>
    </row>
    <row r="2058" ht="12.75">
      <c r="V2058" s="147"/>
    </row>
    <row r="2059" ht="12.75">
      <c r="V2059" s="147"/>
    </row>
    <row r="2060" ht="12.75">
      <c r="V2060" s="147"/>
    </row>
    <row r="2061" ht="12.75">
      <c r="V2061" s="147"/>
    </row>
    <row r="2062" ht="12.75">
      <c r="V2062" s="147"/>
    </row>
    <row r="2063" ht="12.75">
      <c r="V2063" s="147"/>
    </row>
    <row r="2064" ht="12.75">
      <c r="V2064" s="147"/>
    </row>
    <row r="2065" ht="12.75">
      <c r="V2065" s="147"/>
    </row>
    <row r="2066" ht="12.75">
      <c r="V2066" s="147"/>
    </row>
    <row r="2067" ht="12.75">
      <c r="V2067" s="147"/>
    </row>
    <row r="2068" ht="12.75">
      <c r="V2068" s="147"/>
    </row>
    <row r="2069" ht="12.75">
      <c r="V2069" s="147"/>
    </row>
    <row r="2070" ht="12.75">
      <c r="V2070" s="147"/>
    </row>
    <row r="2071" ht="12.75">
      <c r="V2071" s="147"/>
    </row>
    <row r="2072" ht="12.75">
      <c r="V2072" s="147"/>
    </row>
    <row r="2073" ht="12.75">
      <c r="V2073" s="147"/>
    </row>
    <row r="2074" ht="12.75">
      <c r="V2074" s="147"/>
    </row>
    <row r="2075" ht="12.75">
      <c r="V2075" s="147"/>
    </row>
    <row r="2076" ht="12.75">
      <c r="V2076" s="147"/>
    </row>
    <row r="2077" ht="12.75">
      <c r="V2077" s="147"/>
    </row>
    <row r="2078" ht="12.75">
      <c r="V2078" s="147"/>
    </row>
    <row r="2079" ht="12.75">
      <c r="V2079" s="147"/>
    </row>
    <row r="2080" ht="12.75">
      <c r="V2080" s="147"/>
    </row>
    <row r="2081" ht="12.75">
      <c r="V2081" s="147"/>
    </row>
    <row r="2082" ht="12.75">
      <c r="V2082" s="147"/>
    </row>
    <row r="2083" ht="12.75">
      <c r="V2083" s="147"/>
    </row>
    <row r="2084" ht="12.75">
      <c r="V2084" s="147"/>
    </row>
    <row r="2085" ht="12.75">
      <c r="V2085" s="147"/>
    </row>
    <row r="2086" ht="12.75">
      <c r="V2086" s="147"/>
    </row>
    <row r="2087" ht="12.75">
      <c r="V2087" s="147"/>
    </row>
    <row r="2088" ht="12.75">
      <c r="V2088" s="147"/>
    </row>
    <row r="2089" ht="12.75">
      <c r="V2089" s="147"/>
    </row>
    <row r="2090" ht="12.75">
      <c r="V2090" s="147"/>
    </row>
    <row r="2091" ht="12.75">
      <c r="V2091" s="147"/>
    </row>
    <row r="2092" ht="12.75">
      <c r="V2092" s="147"/>
    </row>
    <row r="2093" ht="12.75">
      <c r="V2093" s="147"/>
    </row>
    <row r="2094" ht="12.75">
      <c r="V2094" s="147"/>
    </row>
    <row r="2095" ht="12.75">
      <c r="V2095" s="147"/>
    </row>
    <row r="2096" ht="12.75">
      <c r="V2096" s="147"/>
    </row>
    <row r="2097" ht="12.75">
      <c r="V2097" s="147"/>
    </row>
    <row r="2098" ht="12.75">
      <c r="V2098" s="147"/>
    </row>
    <row r="2099" ht="12.75">
      <c r="V2099" s="147"/>
    </row>
    <row r="2100" ht="12.75">
      <c r="V2100" s="147"/>
    </row>
    <row r="2101" ht="12.75">
      <c r="V2101" s="147"/>
    </row>
    <row r="2102" ht="12.75">
      <c r="V2102" s="147"/>
    </row>
    <row r="2103" ht="12.75">
      <c r="V2103" s="147"/>
    </row>
    <row r="2104" ht="12.75">
      <c r="V2104" s="147"/>
    </row>
    <row r="2105" ht="12.75">
      <c r="V2105" s="147"/>
    </row>
    <row r="2106" ht="12.75">
      <c r="V2106" s="147"/>
    </row>
    <row r="2107" ht="12.75">
      <c r="V2107" s="147"/>
    </row>
    <row r="2108" ht="12.75">
      <c r="V2108" s="147"/>
    </row>
    <row r="2109" ht="12.75">
      <c r="V2109" s="147"/>
    </row>
    <row r="2110" ht="12.75">
      <c r="V2110" s="147"/>
    </row>
    <row r="2111" ht="12.75">
      <c r="V2111" s="147"/>
    </row>
    <row r="2112" ht="12.75">
      <c r="V2112" s="147"/>
    </row>
    <row r="2113" ht="12.75">
      <c r="V2113" s="147"/>
    </row>
    <row r="2114" ht="12.75">
      <c r="V2114" s="147"/>
    </row>
    <row r="2115" ht="12.75">
      <c r="V2115" s="147"/>
    </row>
    <row r="2116" ht="12.75">
      <c r="V2116" s="147"/>
    </row>
    <row r="2117" ht="12.75">
      <c r="V2117" s="147"/>
    </row>
    <row r="2118" ht="12.75">
      <c r="V2118" s="147"/>
    </row>
    <row r="2119" ht="12.75">
      <c r="V2119" s="147"/>
    </row>
    <row r="2120" ht="12.75">
      <c r="V2120" s="147"/>
    </row>
    <row r="2121" ht="12.75">
      <c r="V2121" s="147"/>
    </row>
    <row r="2122" ht="12.75">
      <c r="V2122" s="147"/>
    </row>
    <row r="2123" ht="12.75">
      <c r="V2123" s="147"/>
    </row>
    <row r="2124" ht="12.75">
      <c r="V2124" s="147"/>
    </row>
    <row r="2125" ht="12.75">
      <c r="V2125" s="147"/>
    </row>
    <row r="2126" ht="12.75">
      <c r="V2126" s="147"/>
    </row>
    <row r="2127" ht="12.75">
      <c r="V2127" s="147"/>
    </row>
    <row r="2128" ht="12.75">
      <c r="V2128" s="147"/>
    </row>
    <row r="2129" ht="12.75">
      <c r="V2129" s="147"/>
    </row>
    <row r="2130" ht="12.75">
      <c r="V2130" s="147"/>
    </row>
    <row r="2131" ht="12.75">
      <c r="V2131" s="147"/>
    </row>
    <row r="2132" ht="12.75">
      <c r="V2132" s="147"/>
    </row>
    <row r="2133" ht="12.75">
      <c r="V2133" s="147"/>
    </row>
    <row r="2134" ht="12.75">
      <c r="V2134" s="147"/>
    </row>
    <row r="2135" ht="12.75">
      <c r="V2135" s="147"/>
    </row>
    <row r="2136" ht="12.75">
      <c r="V2136" s="147"/>
    </row>
    <row r="2137" ht="12.75">
      <c r="V2137" s="147"/>
    </row>
    <row r="2138" ht="12.75">
      <c r="V2138" s="147"/>
    </row>
    <row r="2139" ht="12.75">
      <c r="V2139" s="147"/>
    </row>
    <row r="2140" ht="12.75">
      <c r="V2140" s="147"/>
    </row>
    <row r="2141" ht="12.75">
      <c r="V2141" s="147"/>
    </row>
    <row r="2142" ht="12.75">
      <c r="V2142" s="147"/>
    </row>
    <row r="2143" ht="12.75">
      <c r="V2143" s="147"/>
    </row>
    <row r="2144" ht="12.75">
      <c r="V2144" s="147"/>
    </row>
    <row r="2145" ht="12.75">
      <c r="V2145" s="147"/>
    </row>
    <row r="2146" ht="12.75">
      <c r="V2146" s="147"/>
    </row>
    <row r="2147" ht="12.75">
      <c r="V2147" s="147"/>
    </row>
    <row r="2148" ht="12.75">
      <c r="V2148" s="147"/>
    </row>
    <row r="2149" ht="12.75">
      <c r="V2149" s="147"/>
    </row>
    <row r="2150" ht="12.75">
      <c r="V2150" s="147"/>
    </row>
    <row r="2151" ht="12.75">
      <c r="V2151" s="147"/>
    </row>
    <row r="2152" ht="12.75">
      <c r="V2152" s="147"/>
    </row>
    <row r="2153" ht="12.75">
      <c r="V2153" s="147"/>
    </row>
    <row r="2154" ht="12.75">
      <c r="V2154" s="147"/>
    </row>
    <row r="2155" ht="12.75">
      <c r="V2155" s="147"/>
    </row>
    <row r="2156" ht="12.75">
      <c r="V2156" s="147"/>
    </row>
    <row r="2157" ht="12.75">
      <c r="V2157" s="147"/>
    </row>
    <row r="2158" ht="12.75">
      <c r="V2158" s="147"/>
    </row>
    <row r="2159" ht="12.75">
      <c r="V2159" s="147"/>
    </row>
    <row r="2160" ht="12.75">
      <c r="V2160" s="147"/>
    </row>
    <row r="2161" ht="12.75">
      <c r="V2161" s="147"/>
    </row>
    <row r="2162" ht="12.75">
      <c r="V2162" s="147"/>
    </row>
    <row r="2163" ht="12.75">
      <c r="V2163" s="147"/>
    </row>
    <row r="2164" ht="12.75">
      <c r="V2164" s="147"/>
    </row>
    <row r="2165" ht="12.75">
      <c r="V2165" s="147"/>
    </row>
    <row r="2166" ht="12.75">
      <c r="V2166" s="147"/>
    </row>
    <row r="2167" ht="12.75">
      <c r="V2167" s="147"/>
    </row>
    <row r="2168" ht="12.75">
      <c r="V2168" s="147"/>
    </row>
    <row r="2169" ht="12.75">
      <c r="V2169" s="147"/>
    </row>
    <row r="2170" ht="12.75">
      <c r="V2170" s="147"/>
    </row>
    <row r="2171" ht="12.75">
      <c r="V2171" s="147"/>
    </row>
    <row r="2172" ht="12.75">
      <c r="V2172" s="147"/>
    </row>
    <row r="2173" ht="12.75">
      <c r="V2173" s="147"/>
    </row>
    <row r="2174" ht="12.75">
      <c r="V2174" s="147"/>
    </row>
    <row r="2175" ht="12.75">
      <c r="V2175" s="147"/>
    </row>
    <row r="2176" ht="12.75">
      <c r="V2176" s="147"/>
    </row>
    <row r="2177" ht="12.75">
      <c r="V2177" s="147"/>
    </row>
    <row r="2178" ht="12.75">
      <c r="V2178" s="147"/>
    </row>
    <row r="2179" ht="12.75">
      <c r="V2179" s="147"/>
    </row>
    <row r="2180" ht="12.75">
      <c r="V2180" s="147"/>
    </row>
    <row r="2181" ht="12.75">
      <c r="V2181" s="147"/>
    </row>
    <row r="2182" ht="12.75">
      <c r="V2182" s="147"/>
    </row>
    <row r="2183" ht="12.75">
      <c r="V2183" s="147"/>
    </row>
    <row r="2184" ht="12.75">
      <c r="V2184" s="147"/>
    </row>
    <row r="2185" ht="12.75">
      <c r="V2185" s="147"/>
    </row>
    <row r="2186" ht="12.75">
      <c r="V2186" s="147"/>
    </row>
    <row r="2187" ht="12.75">
      <c r="V2187" s="147"/>
    </row>
    <row r="2188" ht="12.75">
      <c r="V2188" s="147"/>
    </row>
    <row r="2189" ht="12.75">
      <c r="V2189" s="147"/>
    </row>
    <row r="2190" ht="12.75">
      <c r="V2190" s="147"/>
    </row>
    <row r="2191" ht="12.75">
      <c r="V2191" s="147"/>
    </row>
    <row r="2192" ht="12.75">
      <c r="V2192" s="147"/>
    </row>
    <row r="2193" ht="12.75">
      <c r="V2193" s="147"/>
    </row>
    <row r="2194" ht="12.75">
      <c r="V2194" s="147"/>
    </row>
    <row r="2195" ht="12.75">
      <c r="V2195" s="147"/>
    </row>
    <row r="2196" ht="12.75">
      <c r="V2196" s="147"/>
    </row>
    <row r="2197" ht="12.75">
      <c r="V2197" s="147"/>
    </row>
    <row r="2198" ht="12.75">
      <c r="V2198" s="147"/>
    </row>
    <row r="2199" ht="12.75">
      <c r="V2199" s="147"/>
    </row>
    <row r="2200" ht="12.75">
      <c r="V2200" s="147"/>
    </row>
    <row r="2201" ht="12.75">
      <c r="V2201" s="147"/>
    </row>
    <row r="2202" ht="12.75">
      <c r="V2202" s="147"/>
    </row>
    <row r="2203" ht="12.75">
      <c r="V2203" s="147"/>
    </row>
    <row r="2204" ht="12.75">
      <c r="V2204" s="147"/>
    </row>
    <row r="2205" ht="12.75">
      <c r="V2205" s="147"/>
    </row>
    <row r="2206" ht="12.75">
      <c r="V2206" s="147"/>
    </row>
    <row r="2207" ht="12.75">
      <c r="V2207" s="147"/>
    </row>
    <row r="2208" ht="12.75">
      <c r="V2208" s="147"/>
    </row>
    <row r="2209" ht="12.75">
      <c r="V2209" s="147"/>
    </row>
    <row r="2210" ht="12.75">
      <c r="V2210" s="147"/>
    </row>
    <row r="2211" ht="12.75">
      <c r="V2211" s="147"/>
    </row>
    <row r="2212" ht="12.75">
      <c r="V2212" s="147"/>
    </row>
    <row r="2213" ht="12.75">
      <c r="V2213" s="147"/>
    </row>
    <row r="2214" ht="12.75">
      <c r="V2214" s="147"/>
    </row>
    <row r="2215" ht="12.75">
      <c r="V2215" s="147"/>
    </row>
    <row r="2216" ht="12.75">
      <c r="V2216" s="147"/>
    </row>
    <row r="2217" ht="12.75">
      <c r="V2217" s="147"/>
    </row>
    <row r="2218" ht="12.75">
      <c r="V2218" s="147"/>
    </row>
    <row r="2219" ht="12.75">
      <c r="V2219" s="147"/>
    </row>
    <row r="2220" ht="12.75">
      <c r="V2220" s="147"/>
    </row>
    <row r="2221" ht="12.75">
      <c r="V2221" s="147"/>
    </row>
    <row r="2222" ht="12.75">
      <c r="V2222" s="147"/>
    </row>
    <row r="2223" ht="12.75">
      <c r="V2223" s="147"/>
    </row>
    <row r="2224" ht="12.75">
      <c r="V2224" s="147"/>
    </row>
    <row r="2225" ht="12.75">
      <c r="V2225" s="147"/>
    </row>
    <row r="2226" ht="12.75">
      <c r="V2226" s="147"/>
    </row>
    <row r="2227" ht="12.75">
      <c r="V2227" s="147"/>
    </row>
    <row r="2228" ht="12.75">
      <c r="V2228" s="147"/>
    </row>
    <row r="2229" ht="12.75">
      <c r="V2229" s="147"/>
    </row>
    <row r="2230" ht="12.75">
      <c r="V2230" s="147"/>
    </row>
    <row r="2231" ht="12.75">
      <c r="V2231" s="147"/>
    </row>
    <row r="2232" ht="12.75">
      <c r="V2232" s="147"/>
    </row>
    <row r="2233" ht="12.75">
      <c r="V2233" s="147"/>
    </row>
    <row r="2234" ht="12.75">
      <c r="V2234" s="147"/>
    </row>
    <row r="2235" ht="12.75">
      <c r="V2235" s="147"/>
    </row>
    <row r="2236" ht="12.75">
      <c r="V2236" s="147"/>
    </row>
    <row r="2237" ht="12.75">
      <c r="V2237" s="147"/>
    </row>
    <row r="2238" ht="12.75">
      <c r="V2238" s="147"/>
    </row>
    <row r="2239" ht="12.75">
      <c r="V2239" s="147"/>
    </row>
    <row r="2240" ht="12.75">
      <c r="V2240" s="147"/>
    </row>
    <row r="2241" ht="12.75">
      <c r="V2241" s="147"/>
    </row>
    <row r="2242" ht="12.75">
      <c r="V2242" s="147"/>
    </row>
    <row r="2243" ht="12.75">
      <c r="V2243" s="147"/>
    </row>
    <row r="2244" ht="12.75">
      <c r="V2244" s="147"/>
    </row>
    <row r="2245" ht="12.75">
      <c r="V2245" s="147"/>
    </row>
    <row r="2246" ht="12.75">
      <c r="V2246" s="147"/>
    </row>
    <row r="2247" ht="12.75">
      <c r="V2247" s="147"/>
    </row>
    <row r="2248" ht="12.75">
      <c r="V2248" s="147"/>
    </row>
    <row r="2249" ht="12.75">
      <c r="V2249" s="147"/>
    </row>
    <row r="2250" ht="12.75">
      <c r="V2250" s="147"/>
    </row>
    <row r="2251" ht="12.75">
      <c r="V2251" s="147"/>
    </row>
    <row r="2252" ht="12.75">
      <c r="V2252" s="147"/>
    </row>
    <row r="2253" ht="12.75">
      <c r="V2253" s="147"/>
    </row>
    <row r="2254" ht="12.75">
      <c r="V2254" s="147"/>
    </row>
    <row r="2255" ht="12.75">
      <c r="V2255" s="147"/>
    </row>
    <row r="2256" ht="12.75">
      <c r="V2256" s="147"/>
    </row>
    <row r="2257" ht="12.75">
      <c r="V2257" s="147"/>
    </row>
    <row r="2258" ht="12.75">
      <c r="V2258" s="147"/>
    </row>
    <row r="2259" ht="12.75">
      <c r="V2259" s="147"/>
    </row>
    <row r="2260" ht="12.75">
      <c r="V2260" s="147"/>
    </row>
    <row r="2261" ht="12.75">
      <c r="V2261" s="147"/>
    </row>
    <row r="2262" ht="12.75">
      <c r="V2262" s="147"/>
    </row>
    <row r="2263" ht="12.75">
      <c r="V2263" s="147"/>
    </row>
    <row r="2264" ht="12.75">
      <c r="V2264" s="147"/>
    </row>
    <row r="2265" ht="12.75">
      <c r="V2265" s="147"/>
    </row>
    <row r="2266" ht="12.75">
      <c r="V2266" s="147"/>
    </row>
    <row r="2267" ht="12.75">
      <c r="V2267" s="147"/>
    </row>
    <row r="2268" ht="12.75">
      <c r="V2268" s="147"/>
    </row>
    <row r="2269" ht="12.75">
      <c r="V2269" s="147"/>
    </row>
    <row r="2270" ht="12.75">
      <c r="V2270" s="147"/>
    </row>
    <row r="2271" ht="12.75">
      <c r="V2271" s="147"/>
    </row>
    <row r="2272" ht="12.75">
      <c r="V2272" s="147"/>
    </row>
    <row r="2273" ht="12.75">
      <c r="V2273" s="147"/>
    </row>
    <row r="2274" ht="12.75">
      <c r="V2274" s="147"/>
    </row>
    <row r="2275" ht="12.75">
      <c r="V2275" s="147"/>
    </row>
    <row r="2276" ht="12.75">
      <c r="V2276" s="147"/>
    </row>
    <row r="2277" ht="12.75">
      <c r="V2277" s="147"/>
    </row>
    <row r="2278" ht="12.75">
      <c r="V2278" s="147"/>
    </row>
    <row r="2279" ht="12.75">
      <c r="V2279" s="147"/>
    </row>
    <row r="2280" ht="12.75">
      <c r="V2280" s="147"/>
    </row>
    <row r="2281" ht="12.75">
      <c r="V2281" s="147"/>
    </row>
    <row r="2282" ht="12.75">
      <c r="V2282" s="147"/>
    </row>
    <row r="2283" ht="12.75">
      <c r="V2283" s="147"/>
    </row>
    <row r="2284" ht="12.75">
      <c r="V2284" s="147"/>
    </row>
    <row r="2285" ht="12.75">
      <c r="V2285" s="147"/>
    </row>
    <row r="2286" ht="12.75">
      <c r="V2286" s="147"/>
    </row>
    <row r="2287" ht="12.75">
      <c r="V2287" s="147"/>
    </row>
    <row r="2288" ht="12.75">
      <c r="V2288" s="147"/>
    </row>
    <row r="2289" ht="12.75">
      <c r="V2289" s="147"/>
    </row>
    <row r="2290" ht="12.75">
      <c r="V2290" s="147"/>
    </row>
    <row r="2291" ht="12.75">
      <c r="V2291" s="147"/>
    </row>
    <row r="2292" ht="12.75">
      <c r="V2292" s="147"/>
    </row>
    <row r="2293" ht="12.75">
      <c r="V2293" s="147"/>
    </row>
    <row r="2294" ht="12.75">
      <c r="V2294" s="147"/>
    </row>
    <row r="2295" ht="12.75">
      <c r="V2295" s="147"/>
    </row>
    <row r="2296" ht="12.75">
      <c r="V2296" s="147"/>
    </row>
    <row r="2297" ht="12.75">
      <c r="V2297" s="147"/>
    </row>
    <row r="2298" ht="12.75">
      <c r="V2298" s="147"/>
    </row>
    <row r="2299" ht="12.75">
      <c r="V2299" s="147"/>
    </row>
    <row r="2300" ht="12.75">
      <c r="V2300" s="147"/>
    </row>
    <row r="2301" ht="12.75">
      <c r="V2301" s="147"/>
    </row>
    <row r="2302" ht="12.75">
      <c r="V2302" s="147"/>
    </row>
    <row r="2303" ht="12.75">
      <c r="V2303" s="147"/>
    </row>
    <row r="2304" ht="12.75">
      <c r="V2304" s="147"/>
    </row>
    <row r="2305" ht="12.75">
      <c r="V2305" s="147"/>
    </row>
    <row r="2306" ht="12.75">
      <c r="V2306" s="147"/>
    </row>
    <row r="2307" ht="12.75">
      <c r="V2307" s="147"/>
    </row>
    <row r="2308" ht="12.75">
      <c r="V2308" s="147"/>
    </row>
    <row r="2309" ht="12.75">
      <c r="V2309" s="147"/>
    </row>
    <row r="2310" ht="12.75">
      <c r="V2310" s="147"/>
    </row>
    <row r="2311" ht="12.75">
      <c r="V2311" s="147"/>
    </row>
    <row r="2312" ht="12.75">
      <c r="V2312" s="147"/>
    </row>
    <row r="2313" ht="12.75">
      <c r="V2313" s="147"/>
    </row>
    <row r="2314" ht="12.75">
      <c r="V2314" s="147"/>
    </row>
    <row r="2315" ht="12.75">
      <c r="V2315" s="147"/>
    </row>
    <row r="2316" ht="12.75">
      <c r="V2316" s="147"/>
    </row>
    <row r="2317" ht="12.75">
      <c r="V2317" s="147"/>
    </row>
    <row r="2318" ht="12.75">
      <c r="V2318" s="147"/>
    </row>
    <row r="2319" ht="12.75">
      <c r="V2319" s="147"/>
    </row>
    <row r="2320" ht="12.75">
      <c r="V2320" s="147"/>
    </row>
    <row r="2321" ht="12.75">
      <c r="V2321" s="147"/>
    </row>
    <row r="2322" ht="12.75">
      <c r="V2322" s="147"/>
    </row>
    <row r="2323" ht="12.75">
      <c r="V2323" s="147"/>
    </row>
    <row r="2324" ht="12.75">
      <c r="V2324" s="147"/>
    </row>
    <row r="2325" ht="12.75">
      <c r="V2325" s="147"/>
    </row>
    <row r="2326" ht="12.75">
      <c r="V2326" s="147"/>
    </row>
    <row r="2327" ht="12.75">
      <c r="V2327" s="147"/>
    </row>
    <row r="2328" ht="12.75">
      <c r="V2328" s="147"/>
    </row>
    <row r="2329" ht="12.75">
      <c r="V2329" s="147"/>
    </row>
    <row r="2330" ht="12.75">
      <c r="V2330" s="147"/>
    </row>
    <row r="2331" ht="12.75">
      <c r="V2331" s="147"/>
    </row>
    <row r="2332" ht="12.75">
      <c r="V2332" s="147"/>
    </row>
    <row r="2333" ht="12.75">
      <c r="V2333" s="147"/>
    </row>
    <row r="2334" ht="12.75">
      <c r="V2334" s="147"/>
    </row>
    <row r="2335" ht="12.75">
      <c r="V2335" s="147"/>
    </row>
    <row r="2336" ht="12.75">
      <c r="V2336" s="147"/>
    </row>
    <row r="2337" ht="12.75">
      <c r="V2337" s="147"/>
    </row>
    <row r="2338" ht="12.75">
      <c r="V2338" s="147"/>
    </row>
    <row r="2339" ht="12.75">
      <c r="V2339" s="147"/>
    </row>
    <row r="2340" ht="12.75">
      <c r="V2340" s="147"/>
    </row>
    <row r="2341" ht="12.75">
      <c r="V2341" s="147"/>
    </row>
    <row r="2342" ht="12.75">
      <c r="V2342" s="147"/>
    </row>
    <row r="2343" ht="12.75">
      <c r="V2343" s="147"/>
    </row>
    <row r="2344" ht="12.75">
      <c r="V2344" s="147"/>
    </row>
    <row r="2345" ht="12.75">
      <c r="V2345" s="147"/>
    </row>
    <row r="2346" ht="12.75">
      <c r="V2346" s="147"/>
    </row>
    <row r="2347" ht="12.75">
      <c r="V2347" s="147"/>
    </row>
    <row r="2348" ht="12.75">
      <c r="V2348" s="147"/>
    </row>
    <row r="2349" ht="12.75">
      <c r="V2349" s="147"/>
    </row>
    <row r="2350" ht="12.75">
      <c r="V2350" s="147"/>
    </row>
    <row r="2351" ht="12.75">
      <c r="V2351" s="147"/>
    </row>
    <row r="2352" ht="12.75">
      <c r="V2352" s="147"/>
    </row>
    <row r="2353" ht="12.75">
      <c r="V2353" s="147"/>
    </row>
    <row r="2354" ht="12.75">
      <c r="V2354" s="147"/>
    </row>
    <row r="2355" ht="12.75">
      <c r="V2355" s="147"/>
    </row>
    <row r="2356" ht="12.75">
      <c r="V2356" s="147"/>
    </row>
    <row r="2357" ht="12.75">
      <c r="V2357" s="147"/>
    </row>
    <row r="2358" ht="12.75">
      <c r="V2358" s="147"/>
    </row>
    <row r="2359" ht="12.75">
      <c r="V2359" s="147"/>
    </row>
    <row r="2360" ht="12.75">
      <c r="V2360" s="147"/>
    </row>
    <row r="2361" ht="12.75">
      <c r="V2361" s="147"/>
    </row>
    <row r="2362" ht="12.75">
      <c r="V2362" s="147"/>
    </row>
    <row r="2363" ht="12.75">
      <c r="V2363" s="147"/>
    </row>
    <row r="2364" ht="12.75">
      <c r="V2364" s="147"/>
    </row>
    <row r="2365" ht="12.75">
      <c r="V2365" s="147"/>
    </row>
    <row r="2366" ht="12.75">
      <c r="V2366" s="147"/>
    </row>
    <row r="2367" ht="12.75">
      <c r="V2367" s="147"/>
    </row>
    <row r="2368" ht="12.75">
      <c r="V2368" s="147"/>
    </row>
    <row r="2369" ht="12.75">
      <c r="V2369" s="147"/>
    </row>
    <row r="2370" ht="12.75">
      <c r="V2370" s="147"/>
    </row>
    <row r="2371" ht="12.75">
      <c r="V2371" s="147"/>
    </row>
    <row r="2372" ht="12.75">
      <c r="V2372" s="147"/>
    </row>
    <row r="2373" ht="12.75">
      <c r="V2373" s="147"/>
    </row>
    <row r="2374" ht="12.75">
      <c r="V2374" s="147"/>
    </row>
    <row r="2375" ht="12.75">
      <c r="V2375" s="147"/>
    </row>
    <row r="2376" ht="12.75">
      <c r="V2376" s="147"/>
    </row>
    <row r="2377" ht="12.75">
      <c r="V2377" s="147"/>
    </row>
    <row r="2378" ht="12.75">
      <c r="V2378" s="147"/>
    </row>
    <row r="2379" ht="12.75">
      <c r="V2379" s="147"/>
    </row>
    <row r="2380" ht="12.75">
      <c r="V2380" s="147"/>
    </row>
    <row r="2381" ht="12.75">
      <c r="V2381" s="147"/>
    </row>
    <row r="2382" ht="12.75">
      <c r="V2382" s="147"/>
    </row>
    <row r="2383" ht="12.75">
      <c r="V2383" s="147"/>
    </row>
    <row r="2384" ht="12.75">
      <c r="V2384" s="147"/>
    </row>
    <row r="2385" ht="12.75">
      <c r="V2385" s="147"/>
    </row>
    <row r="2386" ht="12.75">
      <c r="V2386" s="147"/>
    </row>
    <row r="2387" ht="12.75">
      <c r="V2387" s="147"/>
    </row>
    <row r="2388" ht="12.75">
      <c r="V2388" s="147"/>
    </row>
    <row r="2389" ht="12.75">
      <c r="V2389" s="147"/>
    </row>
    <row r="2390" ht="12.75">
      <c r="V2390" s="147"/>
    </row>
    <row r="2391" ht="12.75">
      <c r="V2391" s="147"/>
    </row>
    <row r="2392" ht="12.75">
      <c r="V2392" s="147"/>
    </row>
    <row r="2393" ht="12.75">
      <c r="V2393" s="147"/>
    </row>
    <row r="2394" ht="12.75">
      <c r="V2394" s="147"/>
    </row>
    <row r="2395" ht="12.75">
      <c r="V2395" s="147"/>
    </row>
    <row r="2396" ht="12.75">
      <c r="V2396" s="147"/>
    </row>
    <row r="2397" ht="12.75">
      <c r="V2397" s="147"/>
    </row>
    <row r="2398" ht="12.75">
      <c r="V2398" s="147"/>
    </row>
    <row r="2399" ht="12.75">
      <c r="V2399" s="147"/>
    </row>
    <row r="2400" ht="12.75">
      <c r="V2400" s="147"/>
    </row>
    <row r="2401" ht="12.75">
      <c r="V2401" s="147"/>
    </row>
    <row r="2402" ht="12.75">
      <c r="V2402" s="147"/>
    </row>
    <row r="2403" ht="12.75">
      <c r="V2403" s="147"/>
    </row>
    <row r="2404" ht="12.75">
      <c r="V2404" s="147"/>
    </row>
    <row r="2405" ht="12.75">
      <c r="V2405" s="147"/>
    </row>
    <row r="2406" ht="12.75">
      <c r="V2406" s="147"/>
    </row>
    <row r="2407" ht="12.75">
      <c r="V2407" s="147"/>
    </row>
    <row r="2408" ht="12.75">
      <c r="V2408" s="147"/>
    </row>
    <row r="2409" ht="12.75">
      <c r="V2409" s="147"/>
    </row>
    <row r="2410" ht="12.75">
      <c r="V2410" s="147"/>
    </row>
    <row r="2411" ht="12.75">
      <c r="V2411" s="147"/>
    </row>
    <row r="2412" ht="12.75">
      <c r="V2412" s="147"/>
    </row>
    <row r="2413" ht="12.75">
      <c r="V2413" s="147"/>
    </row>
    <row r="2414" ht="12.75">
      <c r="V2414" s="147"/>
    </row>
    <row r="2415" ht="12.75">
      <c r="V2415" s="147"/>
    </row>
    <row r="2416" ht="12.75">
      <c r="V2416" s="147"/>
    </row>
    <row r="2417" ht="12.75">
      <c r="V2417" s="147"/>
    </row>
    <row r="2418" ht="12.75">
      <c r="V2418" s="147"/>
    </row>
    <row r="2419" ht="12.75">
      <c r="V2419" s="147"/>
    </row>
    <row r="2420" ht="12.75">
      <c r="V2420" s="147"/>
    </row>
    <row r="2421" ht="12.75">
      <c r="V2421" s="147"/>
    </row>
    <row r="2422" ht="12.75">
      <c r="V2422" s="147"/>
    </row>
    <row r="2423" ht="12.75">
      <c r="V2423" s="147"/>
    </row>
    <row r="2424" ht="12.75">
      <c r="V2424" s="147"/>
    </row>
    <row r="2425" ht="12.75">
      <c r="V2425" s="147"/>
    </row>
    <row r="2426" ht="12.75">
      <c r="V2426" s="147"/>
    </row>
    <row r="2427" ht="12.75">
      <c r="V2427" s="147"/>
    </row>
    <row r="2428" ht="12.75">
      <c r="V2428" s="147"/>
    </row>
    <row r="2429" ht="12.75">
      <c r="V2429" s="147"/>
    </row>
    <row r="2430" ht="12.75">
      <c r="V2430" s="147"/>
    </row>
    <row r="2431" ht="12.75">
      <c r="V2431" s="147"/>
    </row>
    <row r="2432" ht="12.75">
      <c r="V2432" s="147"/>
    </row>
    <row r="2433" ht="12.75">
      <c r="V2433" s="147"/>
    </row>
    <row r="2434" ht="12.75">
      <c r="V2434" s="147"/>
    </row>
    <row r="2435" ht="12.75">
      <c r="V2435" s="147"/>
    </row>
    <row r="2436" ht="12.75">
      <c r="V2436" s="147"/>
    </row>
    <row r="2437" ht="12.75">
      <c r="V2437" s="147"/>
    </row>
    <row r="2438" ht="12.75">
      <c r="V2438" s="147"/>
    </row>
    <row r="2439" ht="12.75">
      <c r="V2439" s="147"/>
    </row>
    <row r="2440" ht="12.75">
      <c r="V2440" s="147"/>
    </row>
    <row r="2441" ht="12.75">
      <c r="V2441" s="147"/>
    </row>
    <row r="2442" ht="12.75">
      <c r="V2442" s="147"/>
    </row>
    <row r="2443" ht="12.75">
      <c r="V2443" s="147"/>
    </row>
    <row r="2444" ht="12.75">
      <c r="V2444" s="147"/>
    </row>
    <row r="2445" ht="12.75">
      <c r="V2445" s="147"/>
    </row>
    <row r="2446" ht="12.75">
      <c r="V2446" s="147"/>
    </row>
    <row r="2447" ht="12.75">
      <c r="V2447" s="147"/>
    </row>
    <row r="2448" ht="12.75">
      <c r="V2448" s="147"/>
    </row>
    <row r="2449" ht="12.75">
      <c r="V2449" s="147"/>
    </row>
    <row r="2450" ht="12.75">
      <c r="V2450" s="147"/>
    </row>
    <row r="2451" ht="12.75">
      <c r="V2451" s="147"/>
    </row>
    <row r="2452" ht="12.75">
      <c r="V2452" s="147"/>
    </row>
    <row r="2453" ht="12.75">
      <c r="V2453" s="147"/>
    </row>
    <row r="2454" ht="12.75">
      <c r="V2454" s="147"/>
    </row>
    <row r="2455" ht="12.75">
      <c r="V2455" s="147"/>
    </row>
    <row r="2456" ht="12.75">
      <c r="V2456" s="147"/>
    </row>
    <row r="2457" ht="12.75">
      <c r="V2457" s="147"/>
    </row>
    <row r="2458" ht="12.75">
      <c r="V2458" s="147"/>
    </row>
    <row r="2459" ht="12.75">
      <c r="V2459" s="147"/>
    </row>
    <row r="2460" ht="12.75">
      <c r="V2460" s="147"/>
    </row>
    <row r="2461" ht="12.75">
      <c r="V2461" s="147"/>
    </row>
    <row r="2462" ht="12.75">
      <c r="V2462" s="147"/>
    </row>
    <row r="2463" ht="12.75">
      <c r="V2463" s="147"/>
    </row>
    <row r="2464" ht="12.75">
      <c r="V2464" s="147"/>
    </row>
    <row r="2465" ht="12.75">
      <c r="V2465" s="147"/>
    </row>
    <row r="2466" ht="12.75">
      <c r="V2466" s="147"/>
    </row>
    <row r="2467" ht="12.75">
      <c r="V2467" s="147"/>
    </row>
    <row r="2468" ht="12.75">
      <c r="V2468" s="147"/>
    </row>
    <row r="2469" ht="12.75">
      <c r="V2469" s="147"/>
    </row>
    <row r="2470" ht="12.75">
      <c r="V2470" s="147"/>
    </row>
    <row r="2471" ht="12.75">
      <c r="V2471" s="147"/>
    </row>
    <row r="2472" ht="12.75">
      <c r="V2472" s="147"/>
    </row>
    <row r="2473" ht="12.75">
      <c r="V2473" s="147"/>
    </row>
    <row r="2474" ht="12.75">
      <c r="V2474" s="147"/>
    </row>
    <row r="2475" ht="12.75">
      <c r="V2475" s="147"/>
    </row>
    <row r="2476" ht="12.75">
      <c r="V2476" s="147"/>
    </row>
    <row r="2477" ht="12.75">
      <c r="V2477" s="147"/>
    </row>
    <row r="2478" ht="12.75">
      <c r="V2478" s="147"/>
    </row>
    <row r="2479" ht="12.75">
      <c r="V2479" s="147"/>
    </row>
    <row r="2480" ht="12.75">
      <c r="V2480" s="147"/>
    </row>
    <row r="2481" ht="12.75">
      <c r="V2481" s="147"/>
    </row>
    <row r="2482" ht="12.75">
      <c r="V2482" s="147"/>
    </row>
    <row r="2483" ht="12.75">
      <c r="V2483" s="147"/>
    </row>
    <row r="2484" ht="12.75">
      <c r="V2484" s="147"/>
    </row>
    <row r="2485" ht="12.75">
      <c r="V2485" s="147"/>
    </row>
    <row r="2486" ht="12.75">
      <c r="V2486" s="147"/>
    </row>
    <row r="2487" ht="12.75">
      <c r="V2487" s="147"/>
    </row>
    <row r="2488" ht="12.75">
      <c r="V2488" s="147"/>
    </row>
    <row r="2489" ht="12.75">
      <c r="V2489" s="147"/>
    </row>
    <row r="2490" ht="12.75">
      <c r="V2490" s="147"/>
    </row>
    <row r="2491" ht="12.75">
      <c r="V2491" s="147"/>
    </row>
    <row r="2492" ht="12.75">
      <c r="V2492" s="147"/>
    </row>
    <row r="2493" ht="12.75">
      <c r="V2493" s="147"/>
    </row>
    <row r="2494" ht="12.75">
      <c r="V2494" s="147"/>
    </row>
    <row r="2495" ht="12.75">
      <c r="V2495" s="147"/>
    </row>
    <row r="2496" ht="12.75">
      <c r="V2496" s="147"/>
    </row>
    <row r="2497" ht="12.75">
      <c r="V2497" s="147"/>
    </row>
    <row r="2498" ht="12.75">
      <c r="V2498" s="147"/>
    </row>
    <row r="2499" ht="12.75">
      <c r="V2499" s="147"/>
    </row>
    <row r="2500" ht="12.75">
      <c r="V2500" s="147"/>
    </row>
    <row r="2501" ht="12.75">
      <c r="V2501" s="147"/>
    </row>
    <row r="2502" ht="12.75">
      <c r="V2502" s="147"/>
    </row>
    <row r="2503" ht="12.75">
      <c r="V2503" s="147"/>
    </row>
    <row r="2504" ht="12.75">
      <c r="V2504" s="147"/>
    </row>
    <row r="2505" ht="12.75">
      <c r="V2505" s="147"/>
    </row>
    <row r="2506" ht="12.75">
      <c r="V2506" s="147"/>
    </row>
    <row r="2507" ht="12.75">
      <c r="V2507" s="147"/>
    </row>
    <row r="2508" ht="12.75">
      <c r="V2508" s="147"/>
    </row>
    <row r="2509" ht="12.75">
      <c r="V2509" s="147"/>
    </row>
    <row r="2510" ht="12.75">
      <c r="V2510" s="147"/>
    </row>
    <row r="2511" ht="12.75">
      <c r="V2511" s="147"/>
    </row>
    <row r="2512" ht="12.75">
      <c r="V2512" s="147"/>
    </row>
    <row r="2513" ht="12.75">
      <c r="V2513" s="147"/>
    </row>
    <row r="2514" ht="12.75">
      <c r="V2514" s="147"/>
    </row>
    <row r="2515" ht="12.75">
      <c r="V2515" s="147"/>
    </row>
    <row r="2516" ht="12.75">
      <c r="V2516" s="147"/>
    </row>
    <row r="2517" ht="12.75">
      <c r="V2517" s="147"/>
    </row>
    <row r="2518" ht="12.75">
      <c r="V2518" s="147"/>
    </row>
    <row r="2519" ht="12.75">
      <c r="V2519" s="147"/>
    </row>
    <row r="2520" ht="12.75">
      <c r="V2520" s="147"/>
    </row>
    <row r="2521" ht="12.75">
      <c r="V2521" s="147"/>
    </row>
    <row r="2522" ht="12.75">
      <c r="V2522" s="147"/>
    </row>
    <row r="2523" ht="12.75">
      <c r="V2523" s="147"/>
    </row>
    <row r="2524" ht="12.75">
      <c r="V2524" s="147"/>
    </row>
    <row r="2525" ht="12.75">
      <c r="V2525" s="147"/>
    </row>
    <row r="2526" ht="12.75">
      <c r="V2526" s="147"/>
    </row>
    <row r="2527" ht="12.75">
      <c r="V2527" s="147"/>
    </row>
    <row r="2528" ht="12.75">
      <c r="V2528" s="147"/>
    </row>
    <row r="2529" ht="12.75">
      <c r="V2529" s="147"/>
    </row>
    <row r="2530" ht="12.75">
      <c r="V2530" s="147"/>
    </row>
    <row r="2531" ht="12.75">
      <c r="V2531" s="147"/>
    </row>
    <row r="2532" ht="12.75">
      <c r="V2532" s="147"/>
    </row>
    <row r="2533" ht="12.75">
      <c r="V2533" s="147"/>
    </row>
    <row r="2534" ht="12.75">
      <c r="V2534" s="147"/>
    </row>
    <row r="2535" ht="12.75">
      <c r="V2535" s="147"/>
    </row>
    <row r="2536" ht="12.75">
      <c r="V2536" s="147"/>
    </row>
    <row r="2537" ht="12.75">
      <c r="V2537" s="147"/>
    </row>
    <row r="2538" ht="12.75">
      <c r="V2538" s="147"/>
    </row>
    <row r="2539" ht="12.75">
      <c r="V2539" s="147"/>
    </row>
    <row r="2540" ht="12.75">
      <c r="V2540" s="147"/>
    </row>
    <row r="2541" ht="12.75">
      <c r="V2541" s="147"/>
    </row>
    <row r="2542" ht="12.75">
      <c r="V2542" s="147"/>
    </row>
    <row r="2543" ht="12.75">
      <c r="V2543" s="147"/>
    </row>
    <row r="2544" ht="12.75">
      <c r="V2544" s="147"/>
    </row>
    <row r="2545" ht="12.75">
      <c r="V2545" s="147"/>
    </row>
    <row r="2546" ht="12.75">
      <c r="V2546" s="147"/>
    </row>
    <row r="2547" ht="12.75">
      <c r="V2547" s="147"/>
    </row>
    <row r="2548" ht="12.75">
      <c r="V2548" s="147"/>
    </row>
    <row r="2549" ht="12.75">
      <c r="V2549" s="147"/>
    </row>
    <row r="2550" ht="12.75">
      <c r="V2550" s="147"/>
    </row>
    <row r="2551" ht="12.75">
      <c r="V2551" s="147"/>
    </row>
    <row r="2552" ht="12.75">
      <c r="V2552" s="147"/>
    </row>
    <row r="2553" ht="12.75">
      <c r="V2553" s="147"/>
    </row>
    <row r="2554" ht="12.75">
      <c r="V2554" s="147"/>
    </row>
    <row r="2555" ht="12.75">
      <c r="V2555" s="147"/>
    </row>
    <row r="2556" ht="12.75">
      <c r="V2556" s="147"/>
    </row>
    <row r="2557" ht="12.75">
      <c r="V2557" s="147"/>
    </row>
    <row r="2558" ht="12.75">
      <c r="V2558" s="147"/>
    </row>
    <row r="2559" ht="12.75">
      <c r="V2559" s="147"/>
    </row>
    <row r="2560" ht="12.75">
      <c r="V2560" s="147"/>
    </row>
    <row r="2561" ht="12.75">
      <c r="V2561" s="147"/>
    </row>
    <row r="2562" ht="12.75">
      <c r="V2562" s="147"/>
    </row>
    <row r="2563" ht="12.75">
      <c r="V2563" s="147"/>
    </row>
    <row r="2564" ht="12.75">
      <c r="V2564" s="147"/>
    </row>
    <row r="2565" ht="12.75">
      <c r="V2565" s="147"/>
    </row>
    <row r="2566" ht="12.75">
      <c r="V2566" s="147"/>
    </row>
    <row r="2567" ht="12.75">
      <c r="V2567" s="147"/>
    </row>
    <row r="2568" ht="12.75">
      <c r="V2568" s="147"/>
    </row>
    <row r="2569" ht="12.75">
      <c r="V2569" s="147"/>
    </row>
    <row r="2570" ht="12.75">
      <c r="V2570" s="147"/>
    </row>
    <row r="2571" ht="12.75">
      <c r="V2571" s="147"/>
    </row>
    <row r="2572" ht="12.75">
      <c r="V2572" s="147"/>
    </row>
    <row r="2573" ht="12.75">
      <c r="V2573" s="147"/>
    </row>
    <row r="2574" ht="12.75">
      <c r="V2574" s="147"/>
    </row>
    <row r="2575" ht="12.75">
      <c r="V2575" s="147"/>
    </row>
    <row r="2576" ht="12.75">
      <c r="V2576" s="147"/>
    </row>
    <row r="2577" ht="12.75">
      <c r="V2577" s="147"/>
    </row>
    <row r="2578" ht="12.75">
      <c r="V2578" s="147"/>
    </row>
    <row r="2579" ht="12.75">
      <c r="V2579" s="147"/>
    </row>
    <row r="2580" ht="12.75">
      <c r="V2580" s="147"/>
    </row>
    <row r="2581" ht="12.75">
      <c r="V2581" s="147"/>
    </row>
    <row r="2582" ht="12.75">
      <c r="V2582" s="147"/>
    </row>
    <row r="2583" ht="12.75">
      <c r="V2583" s="147"/>
    </row>
    <row r="2584" ht="12.75">
      <c r="V2584" s="147"/>
    </row>
    <row r="2585" ht="12.75">
      <c r="V2585" s="147"/>
    </row>
    <row r="2586" ht="12.75">
      <c r="V2586" s="147"/>
    </row>
    <row r="2587" ht="12.75">
      <c r="V2587" s="147"/>
    </row>
    <row r="2588" ht="12.75">
      <c r="V2588" s="147"/>
    </row>
    <row r="2589" ht="12.75">
      <c r="V2589" s="147"/>
    </row>
    <row r="2590" ht="12.75">
      <c r="V2590" s="147"/>
    </row>
    <row r="2591" ht="12.75">
      <c r="V2591" s="147"/>
    </row>
    <row r="2592" ht="12.75">
      <c r="V2592" s="147"/>
    </row>
    <row r="2593" ht="12.75">
      <c r="V2593" s="147"/>
    </row>
    <row r="2594" ht="12.75">
      <c r="V2594" s="147"/>
    </row>
    <row r="2595" ht="12.75">
      <c r="V2595" s="147"/>
    </row>
    <row r="2596" ht="12.75">
      <c r="V2596" s="147"/>
    </row>
    <row r="2597" ht="12.75">
      <c r="V2597" s="147"/>
    </row>
    <row r="2598" ht="12.75">
      <c r="V2598" s="147"/>
    </row>
    <row r="2599" ht="12.75">
      <c r="V2599" s="147"/>
    </row>
    <row r="2600" ht="12.75">
      <c r="V2600" s="147"/>
    </row>
    <row r="2601" ht="12.75">
      <c r="V2601" s="147"/>
    </row>
    <row r="2602" ht="12.75">
      <c r="V2602" s="147"/>
    </row>
    <row r="2603" ht="12.75">
      <c r="V2603" s="147"/>
    </row>
    <row r="2604" ht="12.75">
      <c r="V2604" s="147"/>
    </row>
    <row r="2605" ht="12.75">
      <c r="V2605" s="147"/>
    </row>
    <row r="2606" ht="12.75">
      <c r="V2606" s="147"/>
    </row>
    <row r="2607" ht="12.75">
      <c r="V2607" s="147"/>
    </row>
    <row r="2608" ht="12.75">
      <c r="V2608" s="147"/>
    </row>
    <row r="2609" ht="12.75">
      <c r="V2609" s="147"/>
    </row>
    <row r="2610" ht="12.75">
      <c r="V2610" s="147"/>
    </row>
    <row r="2611" ht="12.75">
      <c r="V2611" s="147"/>
    </row>
    <row r="2612" ht="12.75">
      <c r="V2612" s="147"/>
    </row>
    <row r="2613" ht="12.75">
      <c r="V2613" s="147"/>
    </row>
    <row r="2614" ht="12.75">
      <c r="V2614" s="147"/>
    </row>
    <row r="2615" ht="12.75">
      <c r="V2615" s="147"/>
    </row>
    <row r="2616" ht="12.75">
      <c r="V2616" s="147"/>
    </row>
    <row r="2617" ht="12.75">
      <c r="V2617" s="147"/>
    </row>
    <row r="2618" ht="12.75">
      <c r="V2618" s="147"/>
    </row>
    <row r="2619" ht="12.75">
      <c r="V2619" s="147"/>
    </row>
    <row r="2620" ht="12.75">
      <c r="V2620" s="147"/>
    </row>
    <row r="2621" ht="12.75">
      <c r="V2621" s="147"/>
    </row>
    <row r="2622" ht="12.75">
      <c r="V2622" s="147"/>
    </row>
    <row r="2623" ht="12.75">
      <c r="V2623" s="147"/>
    </row>
    <row r="2624" ht="12.75">
      <c r="V2624" s="147"/>
    </row>
    <row r="2625" ht="12.75">
      <c r="V2625" s="147"/>
    </row>
    <row r="2626" ht="12.75">
      <c r="V2626" s="147"/>
    </row>
    <row r="2627" ht="12.75">
      <c r="V2627" s="147"/>
    </row>
    <row r="2628" ht="12.75">
      <c r="V2628" s="147"/>
    </row>
    <row r="2629" ht="12.75">
      <c r="V2629" s="147"/>
    </row>
    <row r="2630" ht="12.75">
      <c r="V2630" s="147"/>
    </row>
    <row r="2631" ht="12.75">
      <c r="V2631" s="147"/>
    </row>
    <row r="2632" ht="12.75">
      <c r="V2632" s="147"/>
    </row>
    <row r="2633" ht="12.75">
      <c r="V2633" s="147"/>
    </row>
    <row r="2634" ht="12.75">
      <c r="V2634" s="147"/>
    </row>
    <row r="2635" ht="12.75">
      <c r="V2635" s="147"/>
    </row>
    <row r="2636" ht="12.75">
      <c r="V2636" s="147"/>
    </row>
    <row r="2637" ht="12.75">
      <c r="V2637" s="147"/>
    </row>
    <row r="2638" ht="12.75">
      <c r="V2638" s="147"/>
    </row>
    <row r="2639" ht="12.75">
      <c r="V2639" s="147"/>
    </row>
    <row r="2640" ht="12.75">
      <c r="V2640" s="147"/>
    </row>
    <row r="2641" ht="12.75">
      <c r="V2641" s="147"/>
    </row>
    <row r="2642" ht="12.75">
      <c r="V2642" s="147"/>
    </row>
    <row r="2643" ht="12.75">
      <c r="V2643" s="147"/>
    </row>
    <row r="2644" ht="12.75">
      <c r="V2644" s="147"/>
    </row>
    <row r="2645" ht="12.75">
      <c r="V2645" s="147"/>
    </row>
    <row r="2646" ht="12.75">
      <c r="V2646" s="147"/>
    </row>
    <row r="2647" ht="12.75">
      <c r="V2647" s="147"/>
    </row>
    <row r="2648" ht="12.75">
      <c r="V2648" s="147"/>
    </row>
    <row r="2649" ht="12.75">
      <c r="V2649" s="147"/>
    </row>
    <row r="2650" ht="12.75">
      <c r="V2650" s="147"/>
    </row>
    <row r="2651" ht="12.75">
      <c r="V2651" s="147"/>
    </row>
    <row r="2652" ht="12.75">
      <c r="V2652" s="147"/>
    </row>
    <row r="2653" ht="12.75">
      <c r="V2653" s="147"/>
    </row>
    <row r="2654" ht="12.75">
      <c r="V2654" s="147"/>
    </row>
    <row r="2655" ht="12.75">
      <c r="V2655" s="147"/>
    </row>
    <row r="2656" ht="12.75">
      <c r="V2656" s="147"/>
    </row>
    <row r="2657" ht="12.75">
      <c r="V2657" s="147"/>
    </row>
    <row r="2658" ht="12.75">
      <c r="V2658" s="147"/>
    </row>
    <row r="2659" ht="12.75">
      <c r="V2659" s="147"/>
    </row>
    <row r="2660" ht="12.75">
      <c r="V2660" s="147"/>
    </row>
    <row r="2661" ht="12.75">
      <c r="V2661" s="147"/>
    </row>
    <row r="2662" ht="12.75">
      <c r="V2662" s="147"/>
    </row>
    <row r="2663" ht="12.75">
      <c r="V2663" s="147"/>
    </row>
    <row r="2664" ht="12.75">
      <c r="V2664" s="147"/>
    </row>
    <row r="2665" ht="12.75">
      <c r="V2665" s="147"/>
    </row>
    <row r="2666" ht="12.75">
      <c r="V2666" s="147"/>
    </row>
    <row r="2667" ht="12.75">
      <c r="V2667" s="147"/>
    </row>
    <row r="2668" ht="12.75">
      <c r="V2668" s="147"/>
    </row>
    <row r="2669" ht="12.75">
      <c r="V2669" s="147"/>
    </row>
    <row r="2670" ht="12.75">
      <c r="V2670" s="147"/>
    </row>
    <row r="2671" ht="12.75">
      <c r="V2671" s="147"/>
    </row>
    <row r="2672" ht="12.75">
      <c r="V2672" s="147"/>
    </row>
    <row r="2673" ht="12.75">
      <c r="V2673" s="147"/>
    </row>
    <row r="2674" ht="12.75">
      <c r="V2674" s="147"/>
    </row>
    <row r="2675" ht="12.75">
      <c r="V2675" s="147"/>
    </row>
    <row r="2676" ht="12.75">
      <c r="V2676" s="147"/>
    </row>
    <row r="2677" ht="12.75">
      <c r="V2677" s="147"/>
    </row>
    <row r="2678" ht="12.75">
      <c r="V2678" s="147"/>
    </row>
    <row r="2679" ht="12.75">
      <c r="V2679" s="147"/>
    </row>
    <row r="2680" ht="12.75">
      <c r="V2680" s="147"/>
    </row>
    <row r="2681" ht="12.75">
      <c r="V2681" s="147"/>
    </row>
    <row r="2682" ht="12.75">
      <c r="V2682" s="147"/>
    </row>
    <row r="2683" ht="12.75">
      <c r="V2683" s="147"/>
    </row>
    <row r="2684" ht="12.75">
      <c r="V2684" s="147"/>
    </row>
    <row r="2685" ht="12.75">
      <c r="V2685" s="147"/>
    </row>
    <row r="2686" ht="12.75">
      <c r="V2686" s="147"/>
    </row>
    <row r="2687" ht="12.75">
      <c r="V2687" s="147"/>
    </row>
    <row r="2688" ht="12.75">
      <c r="V2688" s="147"/>
    </row>
    <row r="2689" ht="12.75">
      <c r="V2689" s="147"/>
    </row>
    <row r="2690" ht="12.75">
      <c r="V2690" s="147"/>
    </row>
    <row r="2691" ht="12.75">
      <c r="V2691" s="147"/>
    </row>
    <row r="2692" ht="12.75">
      <c r="V2692" s="147"/>
    </row>
    <row r="2693" ht="12.75">
      <c r="V2693" s="147"/>
    </row>
    <row r="2694" ht="12.75">
      <c r="V2694" s="147"/>
    </row>
    <row r="2695" ht="12.75">
      <c r="V2695" s="147"/>
    </row>
    <row r="2696" ht="12.75">
      <c r="V2696" s="147"/>
    </row>
    <row r="2697" ht="12.75">
      <c r="V2697" s="147"/>
    </row>
    <row r="2698" ht="12.75">
      <c r="V2698" s="147"/>
    </row>
    <row r="2699" ht="12.75">
      <c r="V2699" s="147"/>
    </row>
    <row r="2700" ht="12.75">
      <c r="V2700" s="147"/>
    </row>
    <row r="2701" ht="12.75">
      <c r="V2701" s="147"/>
    </row>
    <row r="2702" ht="12.75">
      <c r="V2702" s="147"/>
    </row>
    <row r="2703" ht="12.75">
      <c r="V2703" s="147"/>
    </row>
    <row r="2704" ht="12.75">
      <c r="V2704" s="147"/>
    </row>
    <row r="2705" ht="12.75">
      <c r="V2705" s="147"/>
    </row>
    <row r="2706" ht="12.75">
      <c r="V2706" s="147"/>
    </row>
    <row r="2707" ht="12.75">
      <c r="V2707" s="147"/>
    </row>
    <row r="2708" ht="12.75">
      <c r="V2708" s="147"/>
    </row>
    <row r="2709" ht="12.75">
      <c r="V2709" s="147"/>
    </row>
    <row r="2710" ht="12.75">
      <c r="V2710" s="147"/>
    </row>
    <row r="2711" ht="12.75">
      <c r="V2711" s="147"/>
    </row>
    <row r="2712" ht="12.75">
      <c r="V2712" s="147"/>
    </row>
    <row r="2713" ht="12.75">
      <c r="V2713" s="147"/>
    </row>
    <row r="2714" ht="12.75">
      <c r="V2714" s="147"/>
    </row>
    <row r="2715" ht="12.75">
      <c r="V2715" s="147"/>
    </row>
    <row r="2716" ht="12.75">
      <c r="V2716" s="147"/>
    </row>
    <row r="2717" ht="12.75">
      <c r="V2717" s="147"/>
    </row>
    <row r="2718" ht="12.75">
      <c r="V2718" s="147"/>
    </row>
    <row r="2719" ht="12.75">
      <c r="V2719" s="147"/>
    </row>
    <row r="2720" ht="12.75">
      <c r="V2720" s="147"/>
    </row>
    <row r="2721" ht="12.75">
      <c r="V2721" s="147"/>
    </row>
    <row r="2722" ht="12.75">
      <c r="V2722" s="147"/>
    </row>
    <row r="2723" ht="12.75">
      <c r="V2723" s="147"/>
    </row>
    <row r="2724" ht="12.75">
      <c r="V2724" s="147"/>
    </row>
    <row r="2725" ht="12.75">
      <c r="V2725" s="147"/>
    </row>
    <row r="2726" ht="12.75">
      <c r="V2726" s="147"/>
    </row>
    <row r="2727" ht="12.75">
      <c r="V2727" s="147"/>
    </row>
    <row r="2728" ht="12.75">
      <c r="V2728" s="147"/>
    </row>
    <row r="2729" ht="12.75">
      <c r="V2729" s="147"/>
    </row>
    <row r="2730" ht="12.75">
      <c r="V2730" s="147"/>
    </row>
    <row r="2731" ht="12.75">
      <c r="V2731" s="147"/>
    </row>
    <row r="2732" ht="12.75">
      <c r="V2732" s="147"/>
    </row>
    <row r="2733" ht="12.75">
      <c r="V2733" s="147"/>
    </row>
    <row r="2734" ht="12.75">
      <c r="V2734" s="147"/>
    </row>
    <row r="2735" ht="12.75">
      <c r="V2735" s="147"/>
    </row>
    <row r="2736" ht="12.75">
      <c r="V2736" s="147"/>
    </row>
    <row r="2737" ht="12.75">
      <c r="V2737" s="147"/>
    </row>
    <row r="2738" ht="12.75">
      <c r="V2738" s="147"/>
    </row>
    <row r="2739" ht="12.75">
      <c r="V2739" s="147"/>
    </row>
    <row r="2740" ht="12.75">
      <c r="V2740" s="147"/>
    </row>
    <row r="2741" ht="12.75">
      <c r="V2741" s="147"/>
    </row>
    <row r="2742" ht="12.75">
      <c r="V2742" s="147"/>
    </row>
    <row r="2743" ht="12.75">
      <c r="V2743" s="147"/>
    </row>
    <row r="2744" ht="12.75">
      <c r="V2744" s="147"/>
    </row>
    <row r="2745" ht="12.75">
      <c r="V2745" s="147"/>
    </row>
    <row r="2746" ht="12.75">
      <c r="V2746" s="147"/>
    </row>
    <row r="2747" ht="12.75">
      <c r="V2747" s="147"/>
    </row>
    <row r="2748" ht="12.75">
      <c r="V2748" s="147"/>
    </row>
    <row r="2749" ht="12.75">
      <c r="V2749" s="147"/>
    </row>
    <row r="2750" ht="12.75">
      <c r="V2750" s="147"/>
    </row>
    <row r="2751" ht="12.75">
      <c r="V2751" s="147"/>
    </row>
    <row r="2752" ht="12.75">
      <c r="V2752" s="147"/>
    </row>
    <row r="2753" ht="12.75">
      <c r="V2753" s="147"/>
    </row>
    <row r="2754" ht="12.75">
      <c r="V2754" s="147"/>
    </row>
    <row r="2755" ht="12.75">
      <c r="V2755" s="147"/>
    </row>
    <row r="2756" ht="12.75">
      <c r="V2756" s="147"/>
    </row>
    <row r="2757" ht="12.75">
      <c r="V2757" s="147"/>
    </row>
    <row r="2758" ht="12.75">
      <c r="V2758" s="147"/>
    </row>
    <row r="2759" ht="12.75">
      <c r="V2759" s="147"/>
    </row>
    <row r="2760" ht="12.75">
      <c r="V2760" s="147"/>
    </row>
    <row r="2761" ht="12.75">
      <c r="V2761" s="147"/>
    </row>
    <row r="2762" ht="12.75">
      <c r="V2762" s="147"/>
    </row>
    <row r="2763" ht="12.75">
      <c r="V2763" s="147"/>
    </row>
    <row r="2764" ht="12.75">
      <c r="V2764" s="147"/>
    </row>
    <row r="2765" ht="12.75">
      <c r="V2765" s="147"/>
    </row>
    <row r="2766" ht="12.75">
      <c r="V2766" s="147"/>
    </row>
    <row r="2767" ht="12.75">
      <c r="V2767" s="147"/>
    </row>
    <row r="2768" ht="12.75">
      <c r="V2768" s="147"/>
    </row>
    <row r="2769" ht="12.75">
      <c r="V2769" s="147"/>
    </row>
    <row r="2770" ht="12.75">
      <c r="V2770" s="147"/>
    </row>
    <row r="2771" ht="12.75">
      <c r="V2771" s="147"/>
    </row>
    <row r="2772" ht="12.75">
      <c r="V2772" s="147"/>
    </row>
    <row r="2773" ht="12.75">
      <c r="V2773" s="147"/>
    </row>
    <row r="2774" ht="12.75">
      <c r="V2774" s="147"/>
    </row>
    <row r="2775" ht="12.75">
      <c r="V2775" s="147"/>
    </row>
    <row r="2776" ht="12.75">
      <c r="V2776" s="147"/>
    </row>
    <row r="2777" ht="12.75">
      <c r="V2777" s="147"/>
    </row>
    <row r="2778" ht="12.75">
      <c r="V2778" s="147"/>
    </row>
    <row r="2779" ht="12.75">
      <c r="V2779" s="147"/>
    </row>
    <row r="2780" ht="12.75">
      <c r="V2780" s="147"/>
    </row>
    <row r="2781" ht="12.75">
      <c r="V2781" s="147"/>
    </row>
    <row r="2782" ht="12.75">
      <c r="V2782" s="147"/>
    </row>
    <row r="2783" ht="12.75">
      <c r="V2783" s="147"/>
    </row>
    <row r="2784" ht="12.75">
      <c r="V2784" s="147"/>
    </row>
    <row r="2785" ht="12.75">
      <c r="V2785" s="147"/>
    </row>
    <row r="2786" ht="12.75">
      <c r="V2786" s="147"/>
    </row>
    <row r="2787" ht="12.75">
      <c r="V2787" s="147"/>
    </row>
    <row r="2788" ht="12.75">
      <c r="V2788" s="147"/>
    </row>
    <row r="2789" ht="12.75">
      <c r="V2789" s="147"/>
    </row>
    <row r="2790" ht="12.75">
      <c r="V2790" s="147"/>
    </row>
    <row r="2791" ht="12.75">
      <c r="V2791" s="147"/>
    </row>
    <row r="2792" ht="12.75">
      <c r="V2792" s="147"/>
    </row>
    <row r="2793" ht="12.75">
      <c r="V2793" s="147"/>
    </row>
    <row r="2794" ht="12.75">
      <c r="V2794" s="147"/>
    </row>
    <row r="2795" ht="12.75">
      <c r="V2795" s="147"/>
    </row>
    <row r="2796" ht="12.75">
      <c r="V2796" s="147"/>
    </row>
    <row r="2797" ht="12.75">
      <c r="V2797" s="147"/>
    </row>
    <row r="2798" ht="12.75">
      <c r="V2798" s="147"/>
    </row>
    <row r="2799" ht="12.75">
      <c r="V2799" s="147"/>
    </row>
    <row r="2800" ht="12.75">
      <c r="V2800" s="147"/>
    </row>
    <row r="2801" ht="12.75">
      <c r="V2801" s="147"/>
    </row>
    <row r="2802" ht="12.75">
      <c r="V2802" s="147"/>
    </row>
    <row r="2803" ht="12.75">
      <c r="V2803" s="147"/>
    </row>
    <row r="2804" ht="12.75">
      <c r="V2804" s="147"/>
    </row>
    <row r="2805" ht="12.75">
      <c r="V2805" s="147"/>
    </row>
    <row r="2806" ht="12.75">
      <c r="V2806" s="147"/>
    </row>
    <row r="2807" ht="12.75">
      <c r="V2807" s="147"/>
    </row>
    <row r="2808" ht="12.75">
      <c r="V2808" s="147"/>
    </row>
    <row r="2809" ht="12.75">
      <c r="V2809" s="147"/>
    </row>
    <row r="2810" ht="12.75">
      <c r="V2810" s="147"/>
    </row>
    <row r="2811" ht="12.75">
      <c r="V2811" s="147"/>
    </row>
    <row r="2812" ht="12.75">
      <c r="V2812" s="147"/>
    </row>
    <row r="2813" ht="12.75">
      <c r="V2813" s="147"/>
    </row>
    <row r="2814" ht="12.75">
      <c r="V2814" s="147"/>
    </row>
    <row r="2815" ht="12.75">
      <c r="V2815" s="147"/>
    </row>
    <row r="2816" ht="12.75">
      <c r="V2816" s="147"/>
    </row>
    <row r="2817" ht="12.75">
      <c r="V2817" s="147"/>
    </row>
    <row r="2818" ht="12.75">
      <c r="V2818" s="147"/>
    </row>
    <row r="2819" ht="12.75">
      <c r="V2819" s="147"/>
    </row>
    <row r="2820" ht="12.75">
      <c r="V2820" s="147"/>
    </row>
    <row r="2821" ht="12.75">
      <c r="V2821" s="147"/>
    </row>
    <row r="2822" ht="12.75">
      <c r="V2822" s="147"/>
    </row>
    <row r="2823" ht="12.75">
      <c r="V2823" s="147"/>
    </row>
    <row r="2824" ht="12.75">
      <c r="V2824" s="147"/>
    </row>
    <row r="2825" ht="12.75">
      <c r="V2825" s="147"/>
    </row>
    <row r="2826" ht="12.75">
      <c r="V2826" s="147"/>
    </row>
    <row r="2827" ht="12.75">
      <c r="V2827" s="147"/>
    </row>
    <row r="2828" ht="12.75">
      <c r="V2828" s="147"/>
    </row>
    <row r="2829" ht="12.75">
      <c r="V2829" s="147"/>
    </row>
    <row r="2830" ht="12.75">
      <c r="V2830" s="147"/>
    </row>
    <row r="2831" ht="12.75">
      <c r="V2831" s="147"/>
    </row>
    <row r="2832" ht="12.75">
      <c r="V2832" s="147"/>
    </row>
    <row r="2833" ht="12.75">
      <c r="V2833" s="147"/>
    </row>
    <row r="2834" ht="12.75">
      <c r="V2834" s="147"/>
    </row>
    <row r="2835" ht="12.75">
      <c r="V2835" s="147"/>
    </row>
    <row r="2836" ht="12.75">
      <c r="V2836" s="147"/>
    </row>
    <row r="2837" ht="12.75">
      <c r="V2837" s="147"/>
    </row>
    <row r="2838" ht="12.75">
      <c r="V2838" s="147"/>
    </row>
    <row r="2839" ht="12.75">
      <c r="V2839" s="147"/>
    </row>
    <row r="2840" ht="12.75">
      <c r="V2840" s="147"/>
    </row>
    <row r="2841" ht="12.75">
      <c r="V2841" s="147"/>
    </row>
    <row r="2842" ht="12.75">
      <c r="V2842" s="147"/>
    </row>
    <row r="2843" ht="12.75">
      <c r="V2843" s="147"/>
    </row>
    <row r="2844" ht="12.75">
      <c r="V2844" s="147"/>
    </row>
    <row r="2845" ht="12.75">
      <c r="V2845" s="147"/>
    </row>
    <row r="2846" ht="12.75">
      <c r="V2846" s="147"/>
    </row>
    <row r="2847" ht="12.75">
      <c r="V2847" s="147"/>
    </row>
    <row r="2848" ht="12.75">
      <c r="V2848" s="147"/>
    </row>
    <row r="2849" ht="12.75">
      <c r="V2849" s="147"/>
    </row>
    <row r="2850" ht="12.75">
      <c r="V2850" s="147"/>
    </row>
    <row r="2851" ht="12.75">
      <c r="V2851" s="147"/>
    </row>
    <row r="2852" ht="12.75">
      <c r="V2852" s="147"/>
    </row>
    <row r="2853" ht="12.75">
      <c r="V2853" s="147"/>
    </row>
    <row r="2854" ht="12.75">
      <c r="V2854" s="147"/>
    </row>
    <row r="2855" ht="12.75">
      <c r="V2855" s="147"/>
    </row>
    <row r="2856" ht="12.75">
      <c r="V2856" s="147"/>
    </row>
    <row r="2857" ht="12.75">
      <c r="V2857" s="147"/>
    </row>
    <row r="2858" ht="12.75">
      <c r="V2858" s="147"/>
    </row>
    <row r="2859" ht="12.75">
      <c r="V2859" s="147"/>
    </row>
    <row r="2860" ht="12.75">
      <c r="V2860" s="147"/>
    </row>
    <row r="2861" ht="12.75">
      <c r="V2861" s="147"/>
    </row>
    <row r="2862" ht="12.75">
      <c r="V2862" s="147"/>
    </row>
    <row r="2863" ht="12.75">
      <c r="V2863" s="147"/>
    </row>
    <row r="2864" ht="12.75">
      <c r="V2864" s="147"/>
    </row>
    <row r="2865" ht="12.75">
      <c r="V2865" s="147"/>
    </row>
    <row r="2866" ht="12.75">
      <c r="V2866" s="147"/>
    </row>
    <row r="2867" ht="12.75">
      <c r="V2867" s="147"/>
    </row>
    <row r="2868" ht="12.75">
      <c r="V2868" s="147"/>
    </row>
    <row r="2869" ht="12.75">
      <c r="V2869" s="147"/>
    </row>
    <row r="2870" ht="12.75">
      <c r="V2870" s="147"/>
    </row>
    <row r="2871" ht="12.75">
      <c r="V2871" s="147"/>
    </row>
    <row r="2872" ht="12.75">
      <c r="V2872" s="147"/>
    </row>
    <row r="2873" ht="12.75">
      <c r="V2873" s="147"/>
    </row>
    <row r="2874" ht="12.75">
      <c r="V2874" s="147"/>
    </row>
    <row r="2875" ht="12.75">
      <c r="V2875" s="147"/>
    </row>
    <row r="2876" ht="12.75">
      <c r="V2876" s="147"/>
    </row>
    <row r="2877" ht="12.75">
      <c r="V2877" s="147"/>
    </row>
    <row r="2878" ht="12.75">
      <c r="V2878" s="147"/>
    </row>
    <row r="2879" ht="12.75">
      <c r="V2879" s="147"/>
    </row>
    <row r="2880" ht="12.75">
      <c r="V2880" s="147"/>
    </row>
    <row r="2881" ht="12.75">
      <c r="V2881" s="147"/>
    </row>
    <row r="2882" ht="12.75">
      <c r="V2882" s="147"/>
    </row>
    <row r="2883" ht="12.75">
      <c r="V2883" s="147"/>
    </row>
    <row r="2884" ht="12.75">
      <c r="V2884" s="147"/>
    </row>
    <row r="2885" ht="12.75">
      <c r="V2885" s="147"/>
    </row>
    <row r="2886" ht="12.75">
      <c r="V2886" s="147"/>
    </row>
    <row r="2887" ht="12.75">
      <c r="V2887" s="147"/>
    </row>
    <row r="2888" ht="12.75">
      <c r="V2888" s="147"/>
    </row>
    <row r="2889" ht="12.75">
      <c r="V2889" s="147"/>
    </row>
    <row r="2890" ht="12.75">
      <c r="V2890" s="147"/>
    </row>
    <row r="2891" ht="12.75">
      <c r="V2891" s="147"/>
    </row>
    <row r="2892" ht="12.75">
      <c r="V2892" s="147"/>
    </row>
    <row r="2893" ht="12.75">
      <c r="V2893" s="147"/>
    </row>
    <row r="2894" ht="12.75">
      <c r="V2894" s="147"/>
    </row>
    <row r="2895" ht="12.75">
      <c r="V2895" s="147"/>
    </row>
    <row r="2896" ht="12.75">
      <c r="V2896" s="147"/>
    </row>
    <row r="2897" ht="12.75">
      <c r="V2897" s="147"/>
    </row>
    <row r="2898" ht="12.75">
      <c r="V2898" s="147"/>
    </row>
    <row r="2899" ht="12.75">
      <c r="V2899" s="147"/>
    </row>
    <row r="2900" ht="12.75">
      <c r="V2900" s="147"/>
    </row>
    <row r="2901" ht="12.75">
      <c r="V2901" s="147"/>
    </row>
    <row r="2902" ht="12.75">
      <c r="V2902" s="147"/>
    </row>
    <row r="2903" ht="12.75">
      <c r="V2903" s="147"/>
    </row>
    <row r="2904" ht="12.75">
      <c r="V2904" s="147"/>
    </row>
    <row r="2905" ht="12.75">
      <c r="V2905" s="147"/>
    </row>
    <row r="2906" ht="12.75">
      <c r="V2906" s="147"/>
    </row>
    <row r="2907" ht="12.75">
      <c r="V2907" s="147"/>
    </row>
    <row r="2908" ht="12.75">
      <c r="V2908" s="147"/>
    </row>
    <row r="2909" ht="12.75">
      <c r="V2909" s="147"/>
    </row>
    <row r="2910" ht="12.75">
      <c r="V2910" s="147"/>
    </row>
    <row r="2911" ht="12.75">
      <c r="V2911" s="147"/>
    </row>
    <row r="2912" ht="12.75">
      <c r="V2912" s="147"/>
    </row>
    <row r="2913" ht="12.75">
      <c r="V2913" s="147"/>
    </row>
    <row r="2914" ht="12.75">
      <c r="V2914" s="147"/>
    </row>
    <row r="2915" ht="12.75">
      <c r="V2915" s="147"/>
    </row>
    <row r="2916" ht="12.75">
      <c r="V2916" s="147"/>
    </row>
    <row r="2917" ht="12.75">
      <c r="V2917" s="147"/>
    </row>
    <row r="2918" ht="12.75">
      <c r="V2918" s="147"/>
    </row>
    <row r="2919" ht="12.75">
      <c r="V2919" s="147"/>
    </row>
    <row r="2920" ht="12.75">
      <c r="V2920" s="147"/>
    </row>
    <row r="2921" ht="12.75">
      <c r="V2921" s="147"/>
    </row>
    <row r="2922" ht="12.75">
      <c r="V2922" s="147"/>
    </row>
    <row r="2923" ht="12.75">
      <c r="V2923" s="147"/>
    </row>
    <row r="2924" ht="12.75">
      <c r="V2924" s="147"/>
    </row>
    <row r="2925" ht="12.75">
      <c r="V2925" s="147"/>
    </row>
    <row r="2926" ht="12.75">
      <c r="V2926" s="147"/>
    </row>
    <row r="2927" ht="12.75">
      <c r="V2927" s="147"/>
    </row>
    <row r="2928" ht="12.75">
      <c r="V2928" s="147"/>
    </row>
    <row r="2929" ht="12.75">
      <c r="V2929" s="147"/>
    </row>
    <row r="2930" ht="12.75">
      <c r="V2930" s="147"/>
    </row>
    <row r="2931" ht="12.75">
      <c r="V2931" s="147"/>
    </row>
    <row r="2932" ht="12.75">
      <c r="V2932" s="147"/>
    </row>
    <row r="2933" ht="12.75">
      <c r="V2933" s="147"/>
    </row>
    <row r="2934" ht="12.75">
      <c r="V2934" s="147"/>
    </row>
    <row r="2935" ht="12.75">
      <c r="V2935" s="147"/>
    </row>
    <row r="2936" ht="12.75">
      <c r="V2936" s="147"/>
    </row>
    <row r="2937" ht="12.75">
      <c r="V2937" s="147"/>
    </row>
    <row r="2938" ht="12.75">
      <c r="V2938" s="147"/>
    </row>
    <row r="2939" ht="12.75">
      <c r="V2939" s="147"/>
    </row>
    <row r="2940" ht="12.75">
      <c r="V2940" s="147"/>
    </row>
    <row r="2941" ht="12.75">
      <c r="V2941" s="147"/>
    </row>
    <row r="2942" ht="12.75">
      <c r="V2942" s="147"/>
    </row>
    <row r="2943" ht="12.75">
      <c r="V2943" s="147"/>
    </row>
    <row r="2944" ht="12.75">
      <c r="V2944" s="147"/>
    </row>
    <row r="2945" ht="12.75">
      <c r="V2945" s="147"/>
    </row>
    <row r="2946" ht="12.75">
      <c r="V2946" s="147"/>
    </row>
    <row r="2947" ht="12.75">
      <c r="V2947" s="147"/>
    </row>
    <row r="2948" ht="12.75">
      <c r="V2948" s="147"/>
    </row>
    <row r="2949" ht="12.75">
      <c r="V2949" s="147"/>
    </row>
    <row r="2950" ht="12.75">
      <c r="V2950" s="147"/>
    </row>
    <row r="2951" ht="12.75">
      <c r="V2951" s="147"/>
    </row>
    <row r="2952" ht="12.75">
      <c r="V2952" s="147"/>
    </row>
    <row r="2953" ht="12.75">
      <c r="V2953" s="147"/>
    </row>
    <row r="2954" ht="12.75">
      <c r="V2954" s="147"/>
    </row>
    <row r="2955" ht="12.75">
      <c r="V2955" s="147"/>
    </row>
    <row r="2956" ht="12.75">
      <c r="V2956" s="147"/>
    </row>
    <row r="2957" ht="12.75">
      <c r="V2957" s="147"/>
    </row>
    <row r="2958" ht="12.75">
      <c r="V2958" s="147"/>
    </row>
    <row r="2959" ht="12.75">
      <c r="V2959" s="147"/>
    </row>
    <row r="2960" ht="12.75">
      <c r="V2960" s="147"/>
    </row>
    <row r="2961" ht="12.75">
      <c r="V2961" s="147"/>
    </row>
    <row r="2962" ht="12.75">
      <c r="V2962" s="147"/>
    </row>
    <row r="2963" ht="12.75">
      <c r="V2963" s="147"/>
    </row>
    <row r="2964" ht="12.75">
      <c r="V2964" s="147"/>
    </row>
    <row r="2965" ht="12.75">
      <c r="V2965" s="147"/>
    </row>
    <row r="2966" ht="12.75">
      <c r="V2966" s="147"/>
    </row>
    <row r="2967" ht="12.75">
      <c r="V2967" s="147"/>
    </row>
    <row r="2968" ht="12.75">
      <c r="V2968" s="147"/>
    </row>
    <row r="2969" ht="12.75">
      <c r="V2969" s="147"/>
    </row>
    <row r="2970" ht="12.75">
      <c r="V2970" s="147"/>
    </row>
    <row r="2971" ht="12.75">
      <c r="V2971" s="147"/>
    </row>
    <row r="2972" ht="12.75">
      <c r="V2972" s="147"/>
    </row>
    <row r="2973" ht="12.75">
      <c r="V2973" s="147"/>
    </row>
    <row r="2974" ht="12.75">
      <c r="V2974" s="147"/>
    </row>
    <row r="2975" ht="12.75">
      <c r="V2975" s="147"/>
    </row>
    <row r="2976" ht="12.75">
      <c r="V2976" s="147"/>
    </row>
    <row r="2977" ht="12.75">
      <c r="V2977" s="147"/>
    </row>
    <row r="2978" ht="12.75">
      <c r="V2978" s="147"/>
    </row>
    <row r="2979" ht="12.75">
      <c r="V2979" s="147"/>
    </row>
    <row r="2980" ht="12.75">
      <c r="V2980" s="147"/>
    </row>
    <row r="2981" ht="12.75">
      <c r="V2981" s="147"/>
    </row>
    <row r="2982" ht="12.75">
      <c r="V2982" s="147"/>
    </row>
    <row r="2983" ht="12.75">
      <c r="V2983" s="147"/>
    </row>
    <row r="2984" ht="12.75">
      <c r="V2984" s="147"/>
    </row>
    <row r="2985" ht="12.75">
      <c r="V2985" s="147"/>
    </row>
    <row r="2986" ht="12.75">
      <c r="V2986" s="147"/>
    </row>
    <row r="2987" ht="12.75">
      <c r="V2987" s="147"/>
    </row>
    <row r="2988" ht="12.75">
      <c r="V2988" s="147"/>
    </row>
    <row r="2989" ht="12.75">
      <c r="V2989" s="147"/>
    </row>
    <row r="2990" ht="12.75">
      <c r="V2990" s="147"/>
    </row>
    <row r="2991" ht="12.75">
      <c r="V2991" s="147"/>
    </row>
    <row r="2992" ht="12.75">
      <c r="V2992" s="147"/>
    </row>
    <row r="2993" ht="12.75">
      <c r="V2993" s="147"/>
    </row>
    <row r="2994" ht="12.75">
      <c r="V2994" s="147"/>
    </row>
    <row r="2995" ht="12.75">
      <c r="V2995" s="147"/>
    </row>
    <row r="2996" ht="12.75">
      <c r="V2996" s="147"/>
    </row>
    <row r="2997" ht="12.75">
      <c r="V2997" s="147"/>
    </row>
    <row r="2998" ht="12.75">
      <c r="V2998" s="147"/>
    </row>
    <row r="2999" ht="12.75">
      <c r="V2999" s="147"/>
    </row>
    <row r="3000" ht="12.75">
      <c r="V3000" s="147"/>
    </row>
    <row r="3001" ht="12.75">
      <c r="V3001" s="147"/>
    </row>
    <row r="3002" ht="12.75">
      <c r="V3002" s="147"/>
    </row>
    <row r="3003" ht="12.75">
      <c r="V3003" s="147"/>
    </row>
    <row r="3004" ht="12.75">
      <c r="V3004" s="147"/>
    </row>
    <row r="3005" ht="12.75">
      <c r="V3005" s="147"/>
    </row>
    <row r="3006" ht="12.75">
      <c r="V3006" s="147"/>
    </row>
    <row r="3007" ht="12.75">
      <c r="V3007" s="147"/>
    </row>
    <row r="3008" ht="12.75">
      <c r="V3008" s="147"/>
    </row>
    <row r="3009" ht="12.75">
      <c r="V3009" s="147"/>
    </row>
    <row r="3010" ht="12.75">
      <c r="V3010" s="147"/>
    </row>
    <row r="3011" ht="12.75">
      <c r="V3011" s="147"/>
    </row>
    <row r="3012" ht="12.75">
      <c r="V3012" s="147"/>
    </row>
    <row r="3013" ht="12.75">
      <c r="V3013" s="147"/>
    </row>
    <row r="3014" ht="12.75">
      <c r="V3014" s="147"/>
    </row>
    <row r="3015" ht="12.75">
      <c r="V3015" s="147"/>
    </row>
    <row r="3016" ht="12.75">
      <c r="V3016" s="147"/>
    </row>
    <row r="3017" ht="12.75">
      <c r="V3017" s="147"/>
    </row>
    <row r="3018" ht="12.75">
      <c r="V3018" s="147"/>
    </row>
    <row r="3019" ht="12.75">
      <c r="V3019" s="147"/>
    </row>
    <row r="3020" ht="12.75">
      <c r="V3020" s="147"/>
    </row>
    <row r="3021" ht="12.75">
      <c r="V3021" s="147"/>
    </row>
    <row r="3022" ht="12.75">
      <c r="V3022" s="147"/>
    </row>
    <row r="3023" ht="12.75">
      <c r="V3023" s="147"/>
    </row>
    <row r="3024" ht="12.75">
      <c r="V3024" s="147"/>
    </row>
    <row r="3025" ht="12.75">
      <c r="V3025" s="147"/>
    </row>
    <row r="3026" ht="12.75">
      <c r="V3026" s="147"/>
    </row>
    <row r="3027" ht="12.75">
      <c r="V3027" s="147"/>
    </row>
    <row r="3028" ht="12.75">
      <c r="V3028" s="147"/>
    </row>
    <row r="3029" ht="12.75">
      <c r="V3029" s="147"/>
    </row>
    <row r="3030" ht="12.75">
      <c r="V3030" s="147"/>
    </row>
    <row r="3031" ht="12.75">
      <c r="V3031" s="147"/>
    </row>
    <row r="3032" ht="12.75">
      <c r="V3032" s="147"/>
    </row>
    <row r="3033" ht="12.75">
      <c r="V3033" s="147"/>
    </row>
    <row r="3034" ht="12.75">
      <c r="V3034" s="147"/>
    </row>
    <row r="3035" ht="12.75">
      <c r="V3035" s="147"/>
    </row>
    <row r="3036" ht="12.75">
      <c r="V3036" s="147"/>
    </row>
    <row r="3037" ht="12.75">
      <c r="V3037" s="147"/>
    </row>
    <row r="3038" ht="12.75">
      <c r="V3038" s="147"/>
    </row>
    <row r="3039" ht="12.75">
      <c r="V3039" s="147"/>
    </row>
    <row r="3040" ht="12.75">
      <c r="V3040" s="147"/>
    </row>
    <row r="3041" ht="12.75">
      <c r="V3041" s="147"/>
    </row>
    <row r="3042" ht="12.75">
      <c r="V3042" s="147"/>
    </row>
    <row r="3043" ht="12.75">
      <c r="V3043" s="147"/>
    </row>
    <row r="3044" ht="12.75">
      <c r="V3044" s="147"/>
    </row>
    <row r="3045" ht="12.75">
      <c r="V3045" s="147"/>
    </row>
    <row r="3046" ht="12.75">
      <c r="V3046" s="147"/>
    </row>
    <row r="3047" ht="12.75">
      <c r="V3047" s="147"/>
    </row>
    <row r="3048" ht="12.75">
      <c r="V3048" s="147"/>
    </row>
    <row r="3049" ht="12.75">
      <c r="V3049" s="147"/>
    </row>
    <row r="3050" ht="12.75">
      <c r="V3050" s="147"/>
    </row>
    <row r="3051" ht="12.75">
      <c r="V3051" s="147"/>
    </row>
    <row r="3052" ht="12.75">
      <c r="V3052" s="147"/>
    </row>
    <row r="3053" ht="12.75">
      <c r="V3053" s="147"/>
    </row>
    <row r="3054" ht="12.75">
      <c r="V3054" s="147"/>
    </row>
    <row r="3055" ht="12.75">
      <c r="V3055" s="147"/>
    </row>
    <row r="3056" ht="12.75">
      <c r="V3056" s="147"/>
    </row>
    <row r="3057" ht="12.75">
      <c r="V3057" s="147"/>
    </row>
    <row r="3058" ht="12.75">
      <c r="V3058" s="147"/>
    </row>
    <row r="3059" ht="12.75">
      <c r="V3059" s="147"/>
    </row>
    <row r="3060" ht="12.75">
      <c r="V3060" s="147"/>
    </row>
    <row r="3061" ht="12.75">
      <c r="V3061" s="147"/>
    </row>
    <row r="3062" ht="12.75">
      <c r="V3062" s="147"/>
    </row>
    <row r="3063" ht="12.75">
      <c r="V3063" s="147"/>
    </row>
    <row r="3064" ht="12.75">
      <c r="V3064" s="147"/>
    </row>
    <row r="3065" ht="12.75">
      <c r="V3065" s="147"/>
    </row>
    <row r="3066" ht="12.75">
      <c r="V3066" s="147"/>
    </row>
    <row r="3067" ht="12.75">
      <c r="V3067" s="147"/>
    </row>
    <row r="3068" ht="12.75">
      <c r="V3068" s="147"/>
    </row>
    <row r="3069" ht="12.75">
      <c r="V3069" s="147"/>
    </row>
    <row r="3070" ht="12.75">
      <c r="V3070" s="147"/>
    </row>
    <row r="3071" ht="12.75">
      <c r="V3071" s="147"/>
    </row>
    <row r="3072" ht="12.75">
      <c r="V3072" s="147"/>
    </row>
    <row r="3073" ht="12.75">
      <c r="V3073" s="147"/>
    </row>
    <row r="3074" ht="12.75">
      <c r="V3074" s="147"/>
    </row>
    <row r="3075" ht="12.75">
      <c r="V3075" s="147"/>
    </row>
    <row r="3076" ht="12.75">
      <c r="V3076" s="147"/>
    </row>
    <row r="3077" ht="12.75">
      <c r="V3077" s="147"/>
    </row>
    <row r="3078" ht="12.75">
      <c r="V3078" s="147"/>
    </row>
    <row r="3079" ht="12.75">
      <c r="V3079" s="147"/>
    </row>
    <row r="3080" ht="12.75">
      <c r="V3080" s="147"/>
    </row>
    <row r="3081" ht="12.75">
      <c r="V3081" s="147"/>
    </row>
    <row r="3082" ht="12.75">
      <c r="V3082" s="147"/>
    </row>
    <row r="3083" ht="12.75">
      <c r="V3083" s="147"/>
    </row>
    <row r="3084" ht="12.75">
      <c r="V3084" s="147"/>
    </row>
    <row r="3085" ht="12.75">
      <c r="V3085" s="147"/>
    </row>
    <row r="3086" ht="12.75">
      <c r="V3086" s="147"/>
    </row>
    <row r="3087" ht="12.75">
      <c r="V3087" s="147"/>
    </row>
    <row r="3088" ht="12.75">
      <c r="V3088" s="147"/>
    </row>
    <row r="3089" ht="12.75">
      <c r="V3089" s="147"/>
    </row>
    <row r="3090" ht="12.75">
      <c r="V3090" s="147"/>
    </row>
    <row r="3091" ht="12.75">
      <c r="V3091" s="147"/>
    </row>
    <row r="3092" ht="12.75">
      <c r="V3092" s="147"/>
    </row>
    <row r="3093" ht="12.75">
      <c r="V3093" s="147"/>
    </row>
    <row r="3094" ht="12.75">
      <c r="V3094" s="147"/>
    </row>
    <row r="3095" ht="12.75">
      <c r="V3095" s="147"/>
    </row>
    <row r="3096" ht="12.75">
      <c r="V3096" s="147"/>
    </row>
    <row r="3097" ht="12.75">
      <c r="V3097" s="147"/>
    </row>
    <row r="3098" ht="12.75">
      <c r="V3098" s="147"/>
    </row>
    <row r="3099" ht="12.75">
      <c r="V3099" s="147"/>
    </row>
    <row r="3100" ht="12.75">
      <c r="V3100" s="147"/>
    </row>
    <row r="3101" ht="12.75">
      <c r="V3101" s="147"/>
    </row>
    <row r="3102" ht="12.75">
      <c r="V3102" s="147"/>
    </row>
    <row r="3103" ht="12.75">
      <c r="V3103" s="147"/>
    </row>
    <row r="3104" ht="12.75">
      <c r="V3104" s="147"/>
    </row>
    <row r="3105" ht="12.75">
      <c r="V3105" s="147"/>
    </row>
    <row r="3106" ht="12.75">
      <c r="V3106" s="147"/>
    </row>
    <row r="3107" ht="12.75">
      <c r="V3107" s="147"/>
    </row>
    <row r="3108" ht="12.75">
      <c r="V3108" s="147"/>
    </row>
    <row r="3109" ht="12.75">
      <c r="V3109" s="147"/>
    </row>
    <row r="3110" ht="12.75">
      <c r="V3110" s="147"/>
    </row>
    <row r="3111" ht="12.75">
      <c r="V3111" s="147"/>
    </row>
    <row r="3112" ht="12.75">
      <c r="V3112" s="147"/>
    </row>
    <row r="3113" ht="12.75">
      <c r="V3113" s="147"/>
    </row>
    <row r="3114" ht="12.75">
      <c r="V3114" s="147"/>
    </row>
    <row r="3115" ht="12.75">
      <c r="V3115" s="147"/>
    </row>
    <row r="3116" ht="12.75">
      <c r="V3116" s="147"/>
    </row>
    <row r="3117" ht="12.75">
      <c r="V3117" s="147"/>
    </row>
    <row r="3118" ht="12.75">
      <c r="V3118" s="147"/>
    </row>
    <row r="3119" ht="12.75">
      <c r="V3119" s="147"/>
    </row>
    <row r="3120" ht="12.75">
      <c r="V3120" s="147"/>
    </row>
    <row r="3121" ht="12.75">
      <c r="V3121" s="147"/>
    </row>
    <row r="3122" ht="12.75">
      <c r="V3122" s="147"/>
    </row>
    <row r="3123" ht="12.75">
      <c r="V3123" s="147"/>
    </row>
    <row r="3124" ht="12.75">
      <c r="V3124" s="147"/>
    </row>
    <row r="3125" ht="12.75">
      <c r="V3125" s="147"/>
    </row>
    <row r="3126" ht="12.75">
      <c r="V3126" s="147"/>
    </row>
    <row r="3127" ht="12.75">
      <c r="V3127" s="147"/>
    </row>
    <row r="3128" ht="12.75">
      <c r="V3128" s="147"/>
    </row>
    <row r="3129" ht="12.75">
      <c r="V3129" s="147"/>
    </row>
    <row r="3130" ht="12.75">
      <c r="V3130" s="147"/>
    </row>
    <row r="3131" ht="12.75">
      <c r="V3131" s="147"/>
    </row>
    <row r="3132" ht="12.75">
      <c r="V3132" s="147"/>
    </row>
    <row r="3133" ht="12.75">
      <c r="V3133" s="147"/>
    </row>
    <row r="3134" ht="12.75">
      <c r="V3134" s="147"/>
    </row>
    <row r="3135" ht="12.75">
      <c r="V3135" s="147"/>
    </row>
    <row r="3136" ht="12.75">
      <c r="V3136" s="147"/>
    </row>
    <row r="3137" ht="12.75">
      <c r="V3137" s="147"/>
    </row>
    <row r="3138" ht="12.75">
      <c r="V3138" s="147"/>
    </row>
    <row r="3139" ht="12.75">
      <c r="V3139" s="147"/>
    </row>
    <row r="3140" ht="12.75">
      <c r="V3140" s="147"/>
    </row>
    <row r="3141" ht="12.75">
      <c r="V3141" s="147"/>
    </row>
    <row r="3142" ht="12.75">
      <c r="V3142" s="147"/>
    </row>
    <row r="3143" ht="12.75">
      <c r="V3143" s="147"/>
    </row>
    <row r="3144" ht="12.75">
      <c r="V3144" s="147"/>
    </row>
    <row r="3145" ht="12.75">
      <c r="V3145" s="147"/>
    </row>
    <row r="3146" ht="12.75">
      <c r="V3146" s="147"/>
    </row>
    <row r="3147" ht="12.75">
      <c r="V3147" s="147"/>
    </row>
    <row r="3148" ht="12.75">
      <c r="V3148" s="147"/>
    </row>
    <row r="3149" ht="12.75">
      <c r="V3149" s="147"/>
    </row>
    <row r="3150" ht="12.75">
      <c r="V3150" s="147"/>
    </row>
    <row r="3151" ht="12.75">
      <c r="V3151" s="147"/>
    </row>
    <row r="3152" ht="12.75">
      <c r="V3152" s="147"/>
    </row>
    <row r="3153" ht="12.75">
      <c r="V3153" s="147"/>
    </row>
    <row r="3154" ht="12.75">
      <c r="V3154" s="147"/>
    </row>
    <row r="3155" ht="12.75">
      <c r="V3155" s="147"/>
    </row>
    <row r="3156" ht="12.75">
      <c r="V3156" s="147"/>
    </row>
    <row r="3157" ht="12.75">
      <c r="V3157" s="147"/>
    </row>
    <row r="3158" ht="12.75">
      <c r="V3158" s="147"/>
    </row>
    <row r="3159" ht="12.75">
      <c r="V3159" s="147"/>
    </row>
    <row r="3160" ht="12.75">
      <c r="V3160" s="147"/>
    </row>
    <row r="3161" ht="12.75">
      <c r="V3161" s="147"/>
    </row>
    <row r="3162" ht="12.75">
      <c r="V3162" s="147"/>
    </row>
    <row r="3163" ht="12.75">
      <c r="V3163" s="147"/>
    </row>
    <row r="3164" ht="12.75">
      <c r="V3164" s="147"/>
    </row>
    <row r="3165" ht="12.75">
      <c r="V3165" s="147"/>
    </row>
    <row r="3166" ht="12.75">
      <c r="V3166" s="147"/>
    </row>
    <row r="3167" ht="12.75">
      <c r="V3167" s="147"/>
    </row>
    <row r="3168" ht="12.75">
      <c r="V3168" s="147"/>
    </row>
    <row r="3169" ht="12.75">
      <c r="V3169" s="147"/>
    </row>
    <row r="3170" ht="12.75">
      <c r="V3170" s="147"/>
    </row>
    <row r="3171" ht="12.75">
      <c r="V3171" s="147"/>
    </row>
    <row r="3172" ht="12.75">
      <c r="V3172" s="147"/>
    </row>
    <row r="3173" ht="12.75">
      <c r="V3173" s="147"/>
    </row>
    <row r="3174" ht="12.75">
      <c r="V3174" s="147"/>
    </row>
    <row r="3175" ht="12.75">
      <c r="V3175" s="147"/>
    </row>
    <row r="3176" ht="12.75">
      <c r="V3176" s="147"/>
    </row>
    <row r="3177" ht="12.75">
      <c r="V3177" s="147"/>
    </row>
    <row r="3178" ht="12.75">
      <c r="V3178" s="147"/>
    </row>
    <row r="3179" ht="12.75">
      <c r="V3179" s="147"/>
    </row>
    <row r="3180" ht="12.75">
      <c r="V3180" s="147"/>
    </row>
    <row r="3181" ht="12.75">
      <c r="V3181" s="147"/>
    </row>
    <row r="3182" ht="12.75">
      <c r="V3182" s="147"/>
    </row>
    <row r="3183" ht="12.75">
      <c r="V3183" s="147"/>
    </row>
    <row r="3184" ht="12.75">
      <c r="V3184" s="147"/>
    </row>
    <row r="3185" ht="12.75">
      <c r="V3185" s="147"/>
    </row>
    <row r="3186" ht="12.75">
      <c r="V3186" s="147"/>
    </row>
    <row r="3187" ht="12.75">
      <c r="V3187" s="147"/>
    </row>
    <row r="3188" ht="12.75">
      <c r="V3188" s="147"/>
    </row>
    <row r="3189" ht="12.75">
      <c r="V3189" s="147"/>
    </row>
    <row r="3190" ht="12.75">
      <c r="V3190" s="147"/>
    </row>
    <row r="3191" ht="12.75">
      <c r="V3191" s="147"/>
    </row>
    <row r="3192" ht="12.75">
      <c r="V3192" s="147"/>
    </row>
    <row r="3193" ht="12.75">
      <c r="V3193" s="147"/>
    </row>
    <row r="3194" ht="12.75">
      <c r="V3194" s="147"/>
    </row>
    <row r="3195" ht="12.75">
      <c r="V3195" s="147"/>
    </row>
    <row r="3196" ht="12.75">
      <c r="V3196" s="147"/>
    </row>
    <row r="3197" ht="12.75">
      <c r="V3197" s="147"/>
    </row>
    <row r="3198" ht="12.75">
      <c r="V3198" s="147"/>
    </row>
    <row r="3199" ht="12.75">
      <c r="V3199" s="147"/>
    </row>
    <row r="3200" ht="12.75">
      <c r="V3200" s="147"/>
    </row>
    <row r="3201" ht="12.75">
      <c r="V3201" s="147"/>
    </row>
    <row r="3202" ht="12.75">
      <c r="V3202" s="147"/>
    </row>
    <row r="3203" ht="12.75">
      <c r="V3203" s="147"/>
    </row>
    <row r="3204" ht="12.75">
      <c r="V3204" s="147"/>
    </row>
    <row r="3205" ht="12.75">
      <c r="V3205" s="147"/>
    </row>
    <row r="3206" ht="12.75">
      <c r="V3206" s="147"/>
    </row>
    <row r="3207" ht="12.75">
      <c r="V3207" s="147"/>
    </row>
    <row r="3208" ht="12.75">
      <c r="V3208" s="147"/>
    </row>
    <row r="3209" ht="12.75">
      <c r="V3209" s="147"/>
    </row>
    <row r="3210" ht="12.75">
      <c r="V3210" s="147"/>
    </row>
    <row r="3211" ht="12.75">
      <c r="V3211" s="147"/>
    </row>
    <row r="3212" ht="12.75">
      <c r="V3212" s="147"/>
    </row>
    <row r="3213" ht="12.75">
      <c r="V3213" s="147"/>
    </row>
    <row r="3214" ht="12.75">
      <c r="V3214" s="147"/>
    </row>
    <row r="3215" ht="12.75">
      <c r="V3215" s="147"/>
    </row>
    <row r="3216" ht="12.75">
      <c r="V3216" s="147"/>
    </row>
    <row r="3217" ht="12.75">
      <c r="V3217" s="147"/>
    </row>
    <row r="3218" ht="12.75">
      <c r="V3218" s="147"/>
    </row>
    <row r="3219" ht="12.75">
      <c r="V3219" s="147"/>
    </row>
    <row r="3220" ht="12.75">
      <c r="V3220" s="147"/>
    </row>
    <row r="3221" ht="12.75">
      <c r="V3221" s="147"/>
    </row>
    <row r="3222" ht="12.75">
      <c r="V3222" s="147"/>
    </row>
    <row r="3223" ht="12.75">
      <c r="V3223" s="147"/>
    </row>
    <row r="3224" ht="12.75">
      <c r="V3224" s="147"/>
    </row>
    <row r="3225" ht="12.75">
      <c r="V3225" s="147"/>
    </row>
    <row r="3226" ht="12.75">
      <c r="V3226" s="147"/>
    </row>
    <row r="3227" ht="12.75">
      <c r="V3227" s="147"/>
    </row>
    <row r="3228" ht="12.75">
      <c r="V3228" s="147"/>
    </row>
    <row r="3229" ht="12.75">
      <c r="V3229" s="147"/>
    </row>
    <row r="3230" ht="12.75">
      <c r="V3230" s="147"/>
    </row>
    <row r="3231" ht="12.75">
      <c r="V3231" s="147"/>
    </row>
    <row r="3232" ht="12.75">
      <c r="V3232" s="147"/>
    </row>
    <row r="3233" ht="12.75">
      <c r="V3233" s="147"/>
    </row>
    <row r="3234" ht="12.75">
      <c r="V3234" s="147"/>
    </row>
    <row r="3235" ht="12.75">
      <c r="V3235" s="147"/>
    </row>
    <row r="3236" ht="12.75">
      <c r="V3236" s="147"/>
    </row>
    <row r="3237" ht="12.75">
      <c r="V3237" s="147"/>
    </row>
    <row r="3238" ht="12.75">
      <c r="V3238" s="147"/>
    </row>
    <row r="3239" ht="12.75">
      <c r="V3239" s="147"/>
    </row>
    <row r="3240" ht="12.75">
      <c r="V3240" s="147"/>
    </row>
    <row r="3241" ht="12.75">
      <c r="V3241" s="147"/>
    </row>
    <row r="3242" ht="12.75">
      <c r="V3242" s="147"/>
    </row>
    <row r="3243" ht="12.75">
      <c r="V3243" s="147"/>
    </row>
    <row r="3244" ht="12.75">
      <c r="V3244" s="147"/>
    </row>
    <row r="3245" ht="12.75">
      <c r="V3245" s="147"/>
    </row>
    <row r="3246" ht="12.75">
      <c r="V3246" s="147"/>
    </row>
    <row r="3247" ht="12.75">
      <c r="V3247" s="147"/>
    </row>
    <row r="3248" ht="12.75">
      <c r="V3248" s="147"/>
    </row>
    <row r="3249" ht="12.75">
      <c r="V3249" s="147"/>
    </row>
    <row r="3250" ht="12.75">
      <c r="V3250" s="147"/>
    </row>
    <row r="3251" ht="12.75">
      <c r="V3251" s="147"/>
    </row>
    <row r="3252" ht="12.75">
      <c r="V3252" s="147"/>
    </row>
    <row r="3253" ht="12.75">
      <c r="V3253" s="147"/>
    </row>
    <row r="3254" ht="12.75">
      <c r="V3254" s="147"/>
    </row>
    <row r="3255" ht="12.75">
      <c r="V3255" s="147"/>
    </row>
    <row r="3256" ht="12.75">
      <c r="V3256" s="147"/>
    </row>
    <row r="3257" ht="12.75">
      <c r="V3257" s="147"/>
    </row>
    <row r="3258" ht="12.75">
      <c r="V3258" s="147"/>
    </row>
    <row r="3259" ht="12.75">
      <c r="V3259" s="147"/>
    </row>
    <row r="3260" ht="12.75">
      <c r="V3260" s="147"/>
    </row>
    <row r="3261" ht="12.75">
      <c r="V3261" s="147"/>
    </row>
    <row r="3262" ht="12.75">
      <c r="V3262" s="147"/>
    </row>
    <row r="3263" ht="12.75">
      <c r="V3263" s="147"/>
    </row>
    <row r="3264" ht="12.75">
      <c r="V3264" s="147"/>
    </row>
    <row r="3265" ht="12.75">
      <c r="V3265" s="147"/>
    </row>
    <row r="3266" ht="12.75">
      <c r="V3266" s="147"/>
    </row>
    <row r="3267" ht="12.75">
      <c r="V3267" s="147"/>
    </row>
    <row r="3268" ht="12.75">
      <c r="V3268" s="147"/>
    </row>
    <row r="3269" ht="12.75">
      <c r="V3269" s="147"/>
    </row>
    <row r="3270" ht="12.75">
      <c r="V3270" s="147"/>
    </row>
    <row r="3271" ht="12.75">
      <c r="V3271" s="147"/>
    </row>
    <row r="3272" ht="12.75">
      <c r="V3272" s="147"/>
    </row>
    <row r="3273" ht="12.75">
      <c r="V3273" s="147"/>
    </row>
    <row r="3274" ht="12.75">
      <c r="V3274" s="147"/>
    </row>
    <row r="3275" ht="12.75">
      <c r="V3275" s="147"/>
    </row>
    <row r="3276" ht="12.75">
      <c r="V3276" s="147"/>
    </row>
    <row r="3277" ht="12.75">
      <c r="V3277" s="147"/>
    </row>
    <row r="3278" ht="12.75">
      <c r="V3278" s="147"/>
    </row>
    <row r="3279" ht="12.75">
      <c r="V3279" s="147"/>
    </row>
    <row r="3280" ht="12.75">
      <c r="V3280" s="147"/>
    </row>
    <row r="3281" ht="12.75">
      <c r="V3281" s="147"/>
    </row>
    <row r="3282" ht="12.75">
      <c r="V3282" s="147"/>
    </row>
    <row r="3283" ht="12.75">
      <c r="V3283" s="147"/>
    </row>
    <row r="3284" ht="12.75">
      <c r="V3284" s="147"/>
    </row>
    <row r="3285" ht="12.75">
      <c r="V3285" s="147"/>
    </row>
    <row r="3286" ht="12.75">
      <c r="V3286" s="147"/>
    </row>
    <row r="3287" ht="12.75">
      <c r="V3287" s="147"/>
    </row>
    <row r="3288" ht="12.75">
      <c r="V3288" s="147"/>
    </row>
    <row r="3289" ht="12.75">
      <c r="V3289" s="147"/>
    </row>
    <row r="3290" ht="12.75">
      <c r="V3290" s="147"/>
    </row>
    <row r="3291" ht="12.75">
      <c r="V3291" s="147"/>
    </row>
    <row r="3292" ht="12.75">
      <c r="V3292" s="147"/>
    </row>
    <row r="3293" ht="12.75">
      <c r="V3293" s="147"/>
    </row>
    <row r="3294" ht="12.75">
      <c r="V3294" s="147"/>
    </row>
    <row r="3295" ht="12.75">
      <c r="V3295" s="147"/>
    </row>
    <row r="3296" ht="12.75">
      <c r="V3296" s="147"/>
    </row>
    <row r="3297" ht="12.75">
      <c r="V3297" s="147"/>
    </row>
    <row r="3298" ht="12.75">
      <c r="V3298" s="147"/>
    </row>
    <row r="3299" ht="12.75">
      <c r="V3299" s="147"/>
    </row>
    <row r="3300" ht="12.75">
      <c r="V3300" s="147"/>
    </row>
    <row r="3301" ht="12.75">
      <c r="V3301" s="147"/>
    </row>
    <row r="3302" ht="12.75">
      <c r="V3302" s="147"/>
    </row>
    <row r="3303" ht="12.75">
      <c r="V3303" s="147"/>
    </row>
    <row r="3304" ht="12.75">
      <c r="V3304" s="147"/>
    </row>
    <row r="3305" ht="12.75">
      <c r="V3305" s="147"/>
    </row>
    <row r="3306" ht="12.75">
      <c r="V3306" s="147"/>
    </row>
    <row r="3307" ht="12.75">
      <c r="V3307" s="147"/>
    </row>
    <row r="3308" ht="12.75">
      <c r="V3308" s="147"/>
    </row>
    <row r="3309" ht="12.75">
      <c r="V3309" s="147"/>
    </row>
    <row r="3310" ht="12.75">
      <c r="V3310" s="147"/>
    </row>
    <row r="3311" ht="12.75">
      <c r="V3311" s="147"/>
    </row>
    <row r="3312" ht="12.75">
      <c r="V3312" s="147"/>
    </row>
    <row r="3313" ht="12.75">
      <c r="V3313" s="147"/>
    </row>
    <row r="3314" ht="12.75">
      <c r="V3314" s="147"/>
    </row>
    <row r="3315" ht="12.75">
      <c r="V3315" s="147"/>
    </row>
    <row r="3316" ht="12.75">
      <c r="V3316" s="147"/>
    </row>
    <row r="3317" ht="12.75">
      <c r="V3317" s="147"/>
    </row>
    <row r="3318" ht="12.75">
      <c r="V3318" s="147"/>
    </row>
    <row r="3319" ht="12.75">
      <c r="V3319" s="147"/>
    </row>
    <row r="3320" ht="12.75">
      <c r="V3320" s="147"/>
    </row>
    <row r="3321" ht="12.75">
      <c r="V3321" s="147"/>
    </row>
    <row r="3322" ht="12.75">
      <c r="V3322" s="147"/>
    </row>
    <row r="3323" ht="12.75">
      <c r="V3323" s="147"/>
    </row>
    <row r="3324" ht="12.75">
      <c r="V3324" s="147"/>
    </row>
    <row r="3325" ht="12.75">
      <c r="V3325" s="147"/>
    </row>
    <row r="3326" ht="12.75">
      <c r="V3326" s="147"/>
    </row>
    <row r="3327" ht="12.75">
      <c r="V3327" s="147"/>
    </row>
    <row r="3328" ht="12.75">
      <c r="V3328" s="147"/>
    </row>
    <row r="3329" ht="12.75">
      <c r="V3329" s="147"/>
    </row>
    <row r="3330" ht="12.75">
      <c r="V3330" s="147"/>
    </row>
    <row r="3331" ht="12.75">
      <c r="V3331" s="147"/>
    </row>
    <row r="3332" ht="12.75">
      <c r="V3332" s="147"/>
    </row>
    <row r="3333" ht="12.75">
      <c r="V3333" s="147"/>
    </row>
    <row r="3334" ht="12.75">
      <c r="V3334" s="147"/>
    </row>
    <row r="3335" ht="12.75">
      <c r="V3335" s="147"/>
    </row>
    <row r="3336" ht="12.75">
      <c r="V3336" s="147"/>
    </row>
    <row r="3337" ht="12.75">
      <c r="V3337" s="147"/>
    </row>
    <row r="3338" ht="12.75">
      <c r="V3338" s="147"/>
    </row>
    <row r="3339" ht="12.75">
      <c r="V3339" s="147"/>
    </row>
    <row r="3340" ht="12.75">
      <c r="V3340" s="147"/>
    </row>
    <row r="3341" ht="12.75">
      <c r="V3341" s="147"/>
    </row>
    <row r="3342" ht="12.75">
      <c r="V3342" s="147"/>
    </row>
    <row r="3343" ht="12.75">
      <c r="V3343" s="147"/>
    </row>
    <row r="3344" ht="12.75">
      <c r="V3344" s="147"/>
    </row>
    <row r="3345" ht="12.75">
      <c r="V3345" s="147"/>
    </row>
    <row r="3346" ht="12.75">
      <c r="V3346" s="147"/>
    </row>
    <row r="3347" ht="12.75">
      <c r="V3347" s="147"/>
    </row>
    <row r="3348" ht="12.75">
      <c r="V3348" s="147"/>
    </row>
    <row r="3349" ht="12.75">
      <c r="V3349" s="147"/>
    </row>
    <row r="3350" ht="12.75">
      <c r="V3350" s="147"/>
    </row>
    <row r="3351" ht="12.75">
      <c r="V3351" s="147"/>
    </row>
    <row r="3352" ht="12.75">
      <c r="V3352" s="147"/>
    </row>
    <row r="3353" ht="12.75">
      <c r="V3353" s="147"/>
    </row>
    <row r="3354" ht="12.75">
      <c r="V3354" s="147"/>
    </row>
    <row r="3355" ht="12.75">
      <c r="V3355" s="147"/>
    </row>
    <row r="3356" ht="12.75">
      <c r="V3356" s="147"/>
    </row>
    <row r="3357" ht="12.75">
      <c r="V3357" s="147"/>
    </row>
    <row r="3358" ht="12.75">
      <c r="V3358" s="147"/>
    </row>
    <row r="3359" ht="12.75">
      <c r="V3359" s="147"/>
    </row>
    <row r="3360" ht="12.75">
      <c r="V3360" s="147"/>
    </row>
    <row r="3361" ht="12.75">
      <c r="V3361" s="147"/>
    </row>
    <row r="3362" ht="12.75">
      <c r="V3362" s="147"/>
    </row>
    <row r="3363" ht="12.75">
      <c r="V3363" s="147"/>
    </row>
    <row r="3364" ht="12.75">
      <c r="V3364" s="147"/>
    </row>
    <row r="3365" ht="12.75">
      <c r="V3365" s="147"/>
    </row>
    <row r="3366" ht="12.75">
      <c r="V3366" s="147"/>
    </row>
    <row r="3367" ht="12.75">
      <c r="V3367" s="147"/>
    </row>
    <row r="3368" ht="12.75">
      <c r="V3368" s="147"/>
    </row>
    <row r="3369" ht="12.75">
      <c r="V3369" s="147"/>
    </row>
    <row r="3370" ht="12.75">
      <c r="V3370" s="147"/>
    </row>
    <row r="3371" ht="12.75">
      <c r="V3371" s="147"/>
    </row>
    <row r="3372" ht="12.75">
      <c r="V3372" s="147"/>
    </row>
    <row r="3373" ht="12.75">
      <c r="V3373" s="147"/>
    </row>
    <row r="3374" ht="12.75">
      <c r="V3374" s="147"/>
    </row>
    <row r="3375" ht="12.75">
      <c r="V3375" s="147"/>
    </row>
    <row r="3376" ht="12.75">
      <c r="V3376" s="147"/>
    </row>
    <row r="3377" ht="12.75">
      <c r="V3377" s="147"/>
    </row>
    <row r="3378" ht="12.75">
      <c r="V3378" s="147"/>
    </row>
    <row r="3379" ht="12.75">
      <c r="V3379" s="147"/>
    </row>
    <row r="3380" ht="12.75">
      <c r="V3380" s="147"/>
    </row>
    <row r="3381" ht="12.75">
      <c r="V3381" s="147"/>
    </row>
    <row r="3382" ht="12.75">
      <c r="V3382" s="147"/>
    </row>
    <row r="3383" ht="12.75">
      <c r="V3383" s="147"/>
    </row>
    <row r="3384" ht="12.75">
      <c r="V3384" s="147"/>
    </row>
    <row r="3385" ht="12.75">
      <c r="V3385" s="147"/>
    </row>
    <row r="3386" ht="12.75">
      <c r="V3386" s="147"/>
    </row>
    <row r="3387" ht="12.75">
      <c r="V3387" s="147"/>
    </row>
    <row r="3388" ht="12.75">
      <c r="V3388" s="147"/>
    </row>
    <row r="3389" ht="12.75">
      <c r="V3389" s="147"/>
    </row>
    <row r="3390" ht="12.75">
      <c r="V3390" s="147"/>
    </row>
    <row r="3391" ht="12.75">
      <c r="V3391" s="147"/>
    </row>
    <row r="3392" ht="12.75">
      <c r="V3392" s="147"/>
    </row>
    <row r="3393" ht="12.75">
      <c r="V3393" s="147"/>
    </row>
    <row r="3394" ht="12.75">
      <c r="V3394" s="147"/>
    </row>
    <row r="3395" ht="12.75">
      <c r="V3395" s="147"/>
    </row>
    <row r="3396" ht="12.75">
      <c r="V3396" s="147"/>
    </row>
    <row r="3397" ht="12.75">
      <c r="V3397" s="147"/>
    </row>
    <row r="3398" ht="12.75">
      <c r="V3398" s="147"/>
    </row>
    <row r="3399" ht="12.75">
      <c r="V3399" s="147"/>
    </row>
    <row r="3400" ht="12.75">
      <c r="V3400" s="147"/>
    </row>
    <row r="3401" ht="12.75">
      <c r="V3401" s="147"/>
    </row>
    <row r="3402" ht="12.75">
      <c r="V3402" s="147"/>
    </row>
    <row r="3403" ht="12.75">
      <c r="V3403" s="147"/>
    </row>
    <row r="3404" ht="12.75">
      <c r="V3404" s="147"/>
    </row>
    <row r="3405" ht="12.75">
      <c r="V3405" s="147"/>
    </row>
    <row r="3406" ht="12.75">
      <c r="V3406" s="147"/>
    </row>
    <row r="3407" ht="12.75">
      <c r="V3407" s="147"/>
    </row>
    <row r="3408" ht="12.75">
      <c r="V3408" s="147"/>
    </row>
    <row r="3409" ht="12.75">
      <c r="V3409" s="147"/>
    </row>
    <row r="3410" ht="12.75">
      <c r="V3410" s="147"/>
    </row>
    <row r="3411" ht="12.75">
      <c r="V3411" s="147"/>
    </row>
    <row r="3412" ht="12.75">
      <c r="V3412" s="147"/>
    </row>
    <row r="3413" ht="12.75">
      <c r="V3413" s="147"/>
    </row>
    <row r="3414" ht="12.75">
      <c r="V3414" s="147"/>
    </row>
    <row r="3415" ht="12.75">
      <c r="V3415" s="147"/>
    </row>
    <row r="3416" ht="12.75">
      <c r="V3416" s="147"/>
    </row>
    <row r="3417" ht="12.75">
      <c r="V3417" s="147"/>
    </row>
    <row r="3418" ht="12.75">
      <c r="V3418" s="147"/>
    </row>
    <row r="3419" ht="12.75">
      <c r="V3419" s="147"/>
    </row>
    <row r="3420" ht="12.75">
      <c r="V3420" s="147"/>
    </row>
    <row r="3421" ht="12.75">
      <c r="V3421" s="147"/>
    </row>
    <row r="3422" ht="12.75">
      <c r="V3422" s="147"/>
    </row>
    <row r="3423" ht="12.75">
      <c r="V3423" s="147"/>
    </row>
    <row r="3424" ht="12.75">
      <c r="V3424" s="147"/>
    </row>
    <row r="3425" ht="12.75">
      <c r="V3425" s="147"/>
    </row>
    <row r="3426" ht="12.75">
      <c r="V3426" s="147"/>
    </row>
    <row r="3427" ht="12.75">
      <c r="V3427" s="147"/>
    </row>
    <row r="3428" ht="12.75">
      <c r="V3428" s="147"/>
    </row>
    <row r="3429" ht="12.75">
      <c r="V3429" s="147"/>
    </row>
    <row r="3430" ht="12.75">
      <c r="V3430" s="147"/>
    </row>
    <row r="3431" ht="12.75">
      <c r="V3431" s="147"/>
    </row>
    <row r="3432" ht="12.75">
      <c r="V3432" s="147"/>
    </row>
    <row r="3433" ht="12.75">
      <c r="V3433" s="147"/>
    </row>
    <row r="3434" ht="12.75">
      <c r="V3434" s="147"/>
    </row>
    <row r="3435" ht="12.75">
      <c r="V3435" s="147"/>
    </row>
    <row r="3436" ht="12.75">
      <c r="V3436" s="147"/>
    </row>
    <row r="3437" ht="12.75">
      <c r="V3437" s="147"/>
    </row>
    <row r="3438" ht="12.75">
      <c r="V3438" s="147"/>
    </row>
    <row r="3439" ht="12.75">
      <c r="V3439" s="147"/>
    </row>
    <row r="3440" ht="12.75">
      <c r="V3440" s="147"/>
    </row>
    <row r="3441" ht="12.75">
      <c r="V3441" s="147"/>
    </row>
    <row r="3442" ht="12.75">
      <c r="V3442" s="147"/>
    </row>
    <row r="3443" ht="12.75">
      <c r="V3443" s="147"/>
    </row>
    <row r="3444" ht="12.75">
      <c r="V3444" s="147"/>
    </row>
    <row r="3445" ht="12.75">
      <c r="V3445" s="147"/>
    </row>
    <row r="3446" ht="12.75">
      <c r="V3446" s="147"/>
    </row>
    <row r="3447" ht="12.75">
      <c r="V3447" s="147"/>
    </row>
    <row r="3448" ht="12.75">
      <c r="V3448" s="147"/>
    </row>
    <row r="3449" ht="12.75">
      <c r="V3449" s="147"/>
    </row>
    <row r="3450" ht="12.75">
      <c r="V3450" s="147"/>
    </row>
    <row r="3451" ht="12.75">
      <c r="V3451" s="147"/>
    </row>
    <row r="3452" ht="12.75">
      <c r="V3452" s="147"/>
    </row>
    <row r="3453" ht="12.75">
      <c r="V3453" s="147"/>
    </row>
    <row r="3454" ht="12.75">
      <c r="V3454" s="147"/>
    </row>
    <row r="3455" ht="12.75">
      <c r="V3455" s="147"/>
    </row>
    <row r="3456" ht="12.75">
      <c r="V3456" s="147"/>
    </row>
    <row r="3457" ht="12.75">
      <c r="V3457" s="147"/>
    </row>
    <row r="3458" ht="12.75">
      <c r="V3458" s="147"/>
    </row>
    <row r="3459" ht="12.75">
      <c r="V3459" s="147"/>
    </row>
    <row r="3460" ht="12.75">
      <c r="V3460" s="147"/>
    </row>
    <row r="3461" ht="12.75">
      <c r="V3461" s="147"/>
    </row>
    <row r="3462" ht="12.75">
      <c r="V3462" s="147"/>
    </row>
    <row r="3463" ht="12.75">
      <c r="V3463" s="147"/>
    </row>
    <row r="3464" ht="12.75">
      <c r="V3464" s="147"/>
    </row>
    <row r="3465" ht="12.75">
      <c r="V3465" s="147"/>
    </row>
    <row r="3466" ht="12.75">
      <c r="V3466" s="147"/>
    </row>
    <row r="3467" ht="12.75">
      <c r="V3467" s="147"/>
    </row>
    <row r="3468" ht="12.75">
      <c r="V3468" s="147"/>
    </row>
    <row r="3469" ht="12.75">
      <c r="V3469" s="147"/>
    </row>
    <row r="3470" ht="12.75">
      <c r="V3470" s="147"/>
    </row>
    <row r="3471" ht="12.75">
      <c r="V3471" s="147"/>
    </row>
    <row r="3472" ht="12.75">
      <c r="V3472" s="147"/>
    </row>
    <row r="3473" ht="12.75">
      <c r="V3473" s="147"/>
    </row>
    <row r="3474" ht="12.75">
      <c r="V3474" s="147"/>
    </row>
    <row r="3475" ht="12.75">
      <c r="V3475" s="147"/>
    </row>
    <row r="3476" ht="12.75">
      <c r="V3476" s="147"/>
    </row>
    <row r="3477" ht="12.75">
      <c r="V3477" s="147"/>
    </row>
    <row r="3478" ht="12.75">
      <c r="V3478" s="147"/>
    </row>
    <row r="3479" ht="12.75">
      <c r="V3479" s="147"/>
    </row>
    <row r="3480" ht="12.75">
      <c r="V3480" s="147"/>
    </row>
    <row r="3481" ht="12.75">
      <c r="V3481" s="147"/>
    </row>
    <row r="3482" ht="12.75">
      <c r="V3482" s="147"/>
    </row>
    <row r="3483" ht="12.75">
      <c r="V3483" s="147"/>
    </row>
    <row r="3484" ht="12.75">
      <c r="V3484" s="147"/>
    </row>
    <row r="3485" ht="12.75">
      <c r="V3485" s="147"/>
    </row>
    <row r="3486" ht="12.75">
      <c r="V3486" s="147"/>
    </row>
    <row r="3487" ht="12.75">
      <c r="V3487" s="147"/>
    </row>
    <row r="3488" ht="12.75">
      <c r="V3488" s="147"/>
    </row>
    <row r="3489" ht="12.75">
      <c r="V3489" s="147"/>
    </row>
    <row r="3490" ht="12.75">
      <c r="V3490" s="147"/>
    </row>
    <row r="3491" ht="12.75">
      <c r="V3491" s="147"/>
    </row>
    <row r="3492" ht="12.75">
      <c r="V3492" s="147"/>
    </row>
    <row r="3493" ht="12.75">
      <c r="V3493" s="147"/>
    </row>
    <row r="3494" ht="12.75">
      <c r="V3494" s="147"/>
    </row>
    <row r="3495" ht="12.75">
      <c r="V3495" s="147"/>
    </row>
    <row r="3496" ht="12.75">
      <c r="V3496" s="147"/>
    </row>
    <row r="3497" ht="12.75">
      <c r="V3497" s="147"/>
    </row>
    <row r="3498" ht="12.75">
      <c r="V3498" s="147"/>
    </row>
    <row r="3499" ht="12.75">
      <c r="V3499" s="147"/>
    </row>
    <row r="3500" ht="12.75">
      <c r="V3500" s="147"/>
    </row>
    <row r="3501" ht="12.75">
      <c r="V3501" s="147"/>
    </row>
    <row r="3502" ht="12.75">
      <c r="V3502" s="147"/>
    </row>
    <row r="3503" ht="12.75">
      <c r="V3503" s="147"/>
    </row>
    <row r="3504" ht="12.75">
      <c r="V3504" s="147"/>
    </row>
    <row r="3505" ht="12.75">
      <c r="V3505" s="147"/>
    </row>
    <row r="3506" ht="12.75">
      <c r="V3506" s="147"/>
    </row>
    <row r="3507" ht="12.75">
      <c r="V3507" s="147"/>
    </row>
    <row r="3508" ht="12.75">
      <c r="V3508" s="147"/>
    </row>
    <row r="3509" ht="12.75">
      <c r="V3509" s="147"/>
    </row>
    <row r="3510" ht="12.75">
      <c r="V3510" s="147"/>
    </row>
    <row r="3511" ht="12.75">
      <c r="V3511" s="147"/>
    </row>
    <row r="3512" ht="12.75">
      <c r="V3512" s="147"/>
    </row>
    <row r="3513" ht="12.75">
      <c r="V3513" s="147"/>
    </row>
    <row r="3514" ht="12.75">
      <c r="V3514" s="147"/>
    </row>
    <row r="3515" ht="12.75">
      <c r="V3515" s="147"/>
    </row>
    <row r="3516" ht="12.75">
      <c r="V3516" s="147"/>
    </row>
    <row r="3517" ht="12.75">
      <c r="V3517" s="147"/>
    </row>
    <row r="3518" ht="12.75">
      <c r="V3518" s="147"/>
    </row>
    <row r="3519" ht="12.75">
      <c r="V3519" s="147"/>
    </row>
    <row r="3520" ht="12.75">
      <c r="V3520" s="147"/>
    </row>
    <row r="3521" ht="12.75">
      <c r="V3521" s="147"/>
    </row>
    <row r="3522" ht="12.75">
      <c r="V3522" s="147"/>
    </row>
    <row r="3523" ht="12.75">
      <c r="V3523" s="147"/>
    </row>
    <row r="3524" ht="12.75">
      <c r="V3524" s="147"/>
    </row>
    <row r="3525" ht="12.75">
      <c r="V3525" s="147"/>
    </row>
    <row r="3526" ht="12.75">
      <c r="V3526" s="147"/>
    </row>
    <row r="3527" ht="12.75">
      <c r="V3527" s="147"/>
    </row>
    <row r="3528" ht="12.75">
      <c r="V3528" s="147"/>
    </row>
    <row r="3529" ht="12.75">
      <c r="V3529" s="147"/>
    </row>
    <row r="3530" ht="12.75">
      <c r="V3530" s="147"/>
    </row>
    <row r="3531" ht="12.75">
      <c r="V3531" s="147"/>
    </row>
    <row r="3532" ht="12.75">
      <c r="V3532" s="147"/>
    </row>
    <row r="3533" ht="12.75">
      <c r="V3533" s="147"/>
    </row>
    <row r="3534" ht="12.75">
      <c r="V3534" s="147"/>
    </row>
    <row r="3535" ht="12.75">
      <c r="V3535" s="147"/>
    </row>
    <row r="3536" ht="12.75">
      <c r="V3536" s="147"/>
    </row>
    <row r="3537" ht="12.75">
      <c r="V3537" s="147"/>
    </row>
    <row r="3538" ht="12.75">
      <c r="V3538" s="147"/>
    </row>
    <row r="3539" ht="12.75">
      <c r="V3539" s="147"/>
    </row>
    <row r="3540" ht="12.75">
      <c r="V3540" s="147"/>
    </row>
    <row r="3541" ht="12.75">
      <c r="V3541" s="147"/>
    </row>
    <row r="3542" ht="12.75">
      <c r="V3542" s="147"/>
    </row>
    <row r="3543" ht="12.75">
      <c r="V3543" s="147"/>
    </row>
    <row r="3544" ht="12.75">
      <c r="V3544" s="147"/>
    </row>
    <row r="3545" ht="12.75">
      <c r="V3545" s="147"/>
    </row>
    <row r="3546" ht="12.75">
      <c r="V3546" s="147"/>
    </row>
    <row r="3547" ht="12.75">
      <c r="V3547" s="147"/>
    </row>
    <row r="3548" ht="12.75">
      <c r="V3548" s="147"/>
    </row>
    <row r="3549" ht="12.75">
      <c r="V3549" s="147"/>
    </row>
    <row r="3550" ht="12.75">
      <c r="V3550" s="147"/>
    </row>
    <row r="3551" ht="12.75">
      <c r="V3551" s="147"/>
    </row>
    <row r="3552" ht="12.75">
      <c r="V3552" s="147"/>
    </row>
    <row r="3553" ht="12.75">
      <c r="V3553" s="147"/>
    </row>
    <row r="3554" ht="12.75">
      <c r="V3554" s="147"/>
    </row>
    <row r="3555" ht="12.75">
      <c r="V3555" s="147"/>
    </row>
    <row r="3556" ht="12.75">
      <c r="V3556" s="147"/>
    </row>
    <row r="3557" ht="12.75">
      <c r="V3557" s="147"/>
    </row>
    <row r="3558" ht="12.75">
      <c r="V3558" s="147"/>
    </row>
    <row r="3559" ht="12.75">
      <c r="V3559" s="147"/>
    </row>
    <row r="3560" ht="12.75">
      <c r="V3560" s="147"/>
    </row>
    <row r="3561" ht="12.75">
      <c r="V3561" s="147"/>
    </row>
    <row r="3562" ht="12.75">
      <c r="V3562" s="147"/>
    </row>
    <row r="3563" ht="12.75">
      <c r="V3563" s="147"/>
    </row>
    <row r="3564" ht="12.75">
      <c r="V3564" s="147"/>
    </row>
    <row r="3565" ht="12.75">
      <c r="V3565" s="147"/>
    </row>
    <row r="3566" ht="12.75">
      <c r="V3566" s="147"/>
    </row>
    <row r="3567" ht="12.75">
      <c r="V3567" s="147"/>
    </row>
    <row r="3568" ht="12.75">
      <c r="V3568" s="147"/>
    </row>
    <row r="3569" ht="12.75">
      <c r="V3569" s="147"/>
    </row>
    <row r="3570" ht="12.75">
      <c r="V3570" s="147"/>
    </row>
    <row r="3571" ht="12.75">
      <c r="V3571" s="147"/>
    </row>
    <row r="3572" ht="12.75">
      <c r="V3572" s="147"/>
    </row>
    <row r="3573" ht="12.75">
      <c r="V3573" s="147"/>
    </row>
    <row r="3574" ht="12.75">
      <c r="V3574" s="147"/>
    </row>
    <row r="3575" ht="12.75">
      <c r="V3575" s="147"/>
    </row>
    <row r="3576" ht="12.75">
      <c r="V3576" s="147"/>
    </row>
    <row r="3577" ht="12.75">
      <c r="V3577" s="147"/>
    </row>
    <row r="3578" ht="12.75">
      <c r="V3578" s="147"/>
    </row>
    <row r="3579" ht="12.75">
      <c r="V3579" s="147"/>
    </row>
    <row r="3580" ht="12.75">
      <c r="V3580" s="147"/>
    </row>
    <row r="3581" ht="12.75">
      <c r="V3581" s="147"/>
    </row>
    <row r="3582" ht="12.75">
      <c r="V3582" s="147"/>
    </row>
    <row r="3583" ht="12.75">
      <c r="V3583" s="147"/>
    </row>
    <row r="3584" ht="12.75">
      <c r="V3584" s="147"/>
    </row>
    <row r="3585" ht="12.75">
      <c r="V3585" s="147"/>
    </row>
    <row r="3586" ht="12.75">
      <c r="V3586" s="147"/>
    </row>
    <row r="3587" ht="12.75">
      <c r="V3587" s="147"/>
    </row>
    <row r="3588" ht="12.75">
      <c r="V3588" s="147"/>
    </row>
    <row r="3589" ht="12.75">
      <c r="V3589" s="147"/>
    </row>
    <row r="3590" ht="12.75">
      <c r="V3590" s="147"/>
    </row>
    <row r="3591" ht="12.75">
      <c r="V3591" s="147"/>
    </row>
    <row r="3592" ht="12.75">
      <c r="V3592" s="147"/>
    </row>
    <row r="3593" ht="12.75">
      <c r="V3593" s="147"/>
    </row>
    <row r="3594" ht="12.75">
      <c r="V3594" s="147"/>
    </row>
    <row r="3595" ht="12.75">
      <c r="V3595" s="147"/>
    </row>
    <row r="3596" ht="12.75">
      <c r="V3596" s="147"/>
    </row>
    <row r="3597" ht="12.75">
      <c r="V3597" s="147"/>
    </row>
    <row r="3598" ht="12.75">
      <c r="V3598" s="147"/>
    </row>
    <row r="3599" ht="12.75">
      <c r="V3599" s="147"/>
    </row>
    <row r="3600" ht="12.75">
      <c r="V3600" s="147"/>
    </row>
    <row r="3601" ht="12.75">
      <c r="V3601" s="147"/>
    </row>
    <row r="3602" ht="12.75">
      <c r="V3602" s="147"/>
    </row>
    <row r="3603" ht="12.75">
      <c r="V3603" s="147"/>
    </row>
    <row r="3604" ht="12.75">
      <c r="V3604" s="147"/>
    </row>
    <row r="3605" ht="12.75">
      <c r="V3605" s="147"/>
    </row>
    <row r="3606" ht="12.75">
      <c r="V3606" s="147"/>
    </row>
    <row r="3607" ht="12.75">
      <c r="V3607" s="147"/>
    </row>
    <row r="3608" ht="12.75">
      <c r="V3608" s="147"/>
    </row>
    <row r="3609" ht="12.75">
      <c r="V3609" s="147"/>
    </row>
    <row r="3610" ht="12.75">
      <c r="V3610" s="147"/>
    </row>
    <row r="3611" ht="12.75">
      <c r="V3611" s="147"/>
    </row>
    <row r="3612" ht="12.75">
      <c r="V3612" s="147"/>
    </row>
    <row r="3613" ht="12.75">
      <c r="V3613" s="147"/>
    </row>
    <row r="3614" ht="12.75">
      <c r="V3614" s="147"/>
    </row>
    <row r="3615" ht="12.75">
      <c r="V3615" s="147"/>
    </row>
    <row r="3616" ht="12.75">
      <c r="V3616" s="147"/>
    </row>
    <row r="3617" ht="12.75">
      <c r="V3617" s="147"/>
    </row>
    <row r="3618" ht="12.75">
      <c r="V3618" s="147"/>
    </row>
    <row r="3619" ht="12.75">
      <c r="V3619" s="147"/>
    </row>
    <row r="3620" ht="12.75">
      <c r="V3620" s="147"/>
    </row>
    <row r="3621" ht="12.75">
      <c r="V3621" s="147"/>
    </row>
    <row r="3622" ht="12.75">
      <c r="V3622" s="147"/>
    </row>
    <row r="3623" ht="12.75">
      <c r="V3623" s="147"/>
    </row>
    <row r="3624" ht="12.75">
      <c r="V3624" s="147"/>
    </row>
    <row r="3625" ht="12.75">
      <c r="V3625" s="147"/>
    </row>
    <row r="3626" ht="12.75">
      <c r="V3626" s="147"/>
    </row>
    <row r="3627" ht="12.75">
      <c r="V3627" s="147"/>
    </row>
    <row r="3628" ht="12.75">
      <c r="V3628" s="147"/>
    </row>
    <row r="3629" ht="12.75">
      <c r="V3629" s="147"/>
    </row>
    <row r="3630" ht="12.75">
      <c r="V3630" s="147"/>
    </row>
    <row r="3631" ht="12.75">
      <c r="V3631" s="147"/>
    </row>
    <row r="3632" ht="12.75">
      <c r="V3632" s="147"/>
    </row>
    <row r="3633" ht="12.75">
      <c r="V3633" s="147"/>
    </row>
    <row r="3634" ht="12.75">
      <c r="V3634" s="147"/>
    </row>
    <row r="3635" ht="12.75">
      <c r="V3635" s="147"/>
    </row>
    <row r="3636" ht="12.75">
      <c r="V3636" s="147"/>
    </row>
    <row r="3637" ht="12.75">
      <c r="V3637" s="147"/>
    </row>
    <row r="3638" ht="12.75">
      <c r="V3638" s="147"/>
    </row>
    <row r="3639" ht="12.75">
      <c r="V3639" s="147"/>
    </row>
    <row r="3640" ht="12.75">
      <c r="V3640" s="147"/>
    </row>
    <row r="3641" ht="12.75">
      <c r="V3641" s="147"/>
    </row>
    <row r="3642" ht="12.75">
      <c r="V3642" s="147"/>
    </row>
    <row r="3643" ht="12.75">
      <c r="V3643" s="147"/>
    </row>
    <row r="3644" ht="12.75">
      <c r="V3644" s="147"/>
    </row>
    <row r="3645" ht="12.75">
      <c r="V3645" s="147"/>
    </row>
    <row r="3646" ht="12.75">
      <c r="V3646" s="147"/>
    </row>
    <row r="3647" ht="12.75">
      <c r="V3647" s="147"/>
    </row>
    <row r="3648" ht="12.75">
      <c r="V3648" s="147"/>
    </row>
    <row r="3649" ht="12.75">
      <c r="V3649" s="147"/>
    </row>
    <row r="3650" ht="12.75">
      <c r="V3650" s="147"/>
    </row>
    <row r="3651" ht="12.75">
      <c r="V3651" s="147"/>
    </row>
    <row r="3652" ht="12.75">
      <c r="V3652" s="147"/>
    </row>
    <row r="3653" ht="12.75">
      <c r="V3653" s="147"/>
    </row>
    <row r="3654" ht="12.75">
      <c r="V3654" s="147"/>
    </row>
    <row r="3655" ht="12.75">
      <c r="V3655" s="147"/>
    </row>
    <row r="3656" ht="12.75">
      <c r="V3656" s="147"/>
    </row>
    <row r="3657" ht="12.75">
      <c r="V3657" s="147"/>
    </row>
    <row r="3658" ht="12.75">
      <c r="V3658" s="147"/>
    </row>
    <row r="3659" ht="12.75">
      <c r="V3659" s="147"/>
    </row>
    <row r="3660" ht="12.75">
      <c r="V3660" s="147"/>
    </row>
    <row r="3661" ht="12.75">
      <c r="V3661" s="147"/>
    </row>
    <row r="3662" ht="12.75">
      <c r="V3662" s="147"/>
    </row>
    <row r="3663" ht="12.75">
      <c r="V3663" s="147"/>
    </row>
    <row r="3664" ht="12.75">
      <c r="V3664" s="147"/>
    </row>
    <row r="3665" ht="12.75">
      <c r="V3665" s="147"/>
    </row>
    <row r="3666" ht="12.75">
      <c r="V3666" s="147"/>
    </row>
    <row r="3667" ht="12.75">
      <c r="V3667" s="147"/>
    </row>
    <row r="3668" ht="12.75">
      <c r="V3668" s="147"/>
    </row>
    <row r="3669" ht="12.75">
      <c r="V3669" s="147"/>
    </row>
    <row r="3670" ht="12.75">
      <c r="V3670" s="147"/>
    </row>
    <row r="3671" ht="12.75">
      <c r="V3671" s="147"/>
    </row>
    <row r="3672" ht="12.75">
      <c r="V3672" s="147"/>
    </row>
    <row r="3673" ht="12.75">
      <c r="V3673" s="147"/>
    </row>
    <row r="3674" ht="12.75">
      <c r="V3674" s="147"/>
    </row>
    <row r="3675" ht="12.75">
      <c r="V3675" s="147"/>
    </row>
    <row r="3676" ht="12.75">
      <c r="V3676" s="147"/>
    </row>
    <row r="3677" ht="12.75">
      <c r="V3677" s="147"/>
    </row>
    <row r="3678" ht="12.75">
      <c r="V3678" s="147"/>
    </row>
    <row r="3679" ht="12.75">
      <c r="V3679" s="147"/>
    </row>
    <row r="3680" ht="12.75">
      <c r="V3680" s="147"/>
    </row>
    <row r="3681" ht="12.75">
      <c r="V3681" s="147"/>
    </row>
    <row r="3682" ht="12.75">
      <c r="V3682" s="147"/>
    </row>
    <row r="3683" ht="12.75">
      <c r="V3683" s="147"/>
    </row>
    <row r="3684" ht="12.75">
      <c r="V3684" s="147"/>
    </row>
    <row r="3685" ht="12.75">
      <c r="V3685" s="147"/>
    </row>
    <row r="3686" ht="12.75">
      <c r="V3686" s="147"/>
    </row>
    <row r="3687" ht="12.75">
      <c r="V3687" s="147"/>
    </row>
    <row r="3688" ht="12.75">
      <c r="V3688" s="147"/>
    </row>
    <row r="3689" ht="12.75">
      <c r="V3689" s="147"/>
    </row>
    <row r="3690" ht="12.75">
      <c r="V3690" s="147"/>
    </row>
    <row r="3691" ht="12.75">
      <c r="V3691" s="147"/>
    </row>
    <row r="3692" ht="12.75">
      <c r="V3692" s="147"/>
    </row>
    <row r="3693" ht="12.75">
      <c r="V3693" s="147"/>
    </row>
    <row r="3694" ht="12.75">
      <c r="V3694" s="147"/>
    </row>
    <row r="3695" ht="12.75">
      <c r="V3695" s="147"/>
    </row>
    <row r="3696" ht="12.75">
      <c r="V3696" s="147"/>
    </row>
    <row r="3697" ht="12.75">
      <c r="V3697" s="147"/>
    </row>
    <row r="3698" ht="12.75">
      <c r="V3698" s="147"/>
    </row>
    <row r="3699" ht="12.75">
      <c r="V3699" s="147"/>
    </row>
    <row r="3700" ht="12.75">
      <c r="V3700" s="147"/>
    </row>
    <row r="3701" ht="12.75">
      <c r="V3701" s="147"/>
    </row>
    <row r="3702" ht="12.75">
      <c r="V3702" s="147"/>
    </row>
    <row r="3703" ht="12.75">
      <c r="V3703" s="147"/>
    </row>
    <row r="3704" ht="12.75">
      <c r="V3704" s="147"/>
    </row>
    <row r="3705" ht="12.75">
      <c r="V3705" s="147"/>
    </row>
    <row r="3706" ht="12.75">
      <c r="V3706" s="147"/>
    </row>
    <row r="3707" ht="12.75">
      <c r="V3707" s="147"/>
    </row>
    <row r="3708" ht="12.75">
      <c r="V3708" s="147"/>
    </row>
    <row r="3709" ht="12.75">
      <c r="V3709" s="147"/>
    </row>
    <row r="3710" ht="12.75">
      <c r="V3710" s="147"/>
    </row>
    <row r="3711" ht="12.75">
      <c r="V3711" s="147"/>
    </row>
    <row r="3712" ht="12.75">
      <c r="V3712" s="147"/>
    </row>
    <row r="3713" ht="12.75">
      <c r="V3713" s="147"/>
    </row>
    <row r="3714" ht="12.75">
      <c r="V3714" s="147"/>
    </row>
    <row r="3715" ht="12.75">
      <c r="V3715" s="147"/>
    </row>
    <row r="3716" ht="12.75">
      <c r="V3716" s="147"/>
    </row>
    <row r="3717" ht="12.75">
      <c r="V3717" s="147"/>
    </row>
    <row r="3718" ht="12.75">
      <c r="V3718" s="147"/>
    </row>
    <row r="3719" ht="12.75">
      <c r="V3719" s="147"/>
    </row>
    <row r="3720" ht="12.75">
      <c r="V3720" s="147"/>
    </row>
    <row r="3721" ht="12.75">
      <c r="V3721" s="147"/>
    </row>
    <row r="3722" ht="12.75">
      <c r="V3722" s="147"/>
    </row>
    <row r="3723" ht="12.75">
      <c r="V3723" s="147"/>
    </row>
    <row r="3724" ht="12.75">
      <c r="V3724" s="147"/>
    </row>
    <row r="3725" ht="12.75">
      <c r="V3725" s="147"/>
    </row>
    <row r="3726" ht="12.75">
      <c r="V3726" s="147"/>
    </row>
    <row r="3727" ht="12.75">
      <c r="V3727" s="147"/>
    </row>
    <row r="3728" ht="12.75">
      <c r="V3728" s="147"/>
    </row>
    <row r="3729" ht="12.75">
      <c r="V3729" s="147"/>
    </row>
    <row r="3730" ht="12.75">
      <c r="V3730" s="147"/>
    </row>
    <row r="3731" ht="12.75">
      <c r="V3731" s="147"/>
    </row>
    <row r="3732" ht="12.75">
      <c r="V3732" s="147"/>
    </row>
    <row r="3733" ht="12.75">
      <c r="V3733" s="147"/>
    </row>
    <row r="3734" ht="12.75">
      <c r="V3734" s="147"/>
    </row>
    <row r="3735" ht="12.75">
      <c r="V3735" s="147"/>
    </row>
    <row r="3736" ht="12.75">
      <c r="V3736" s="147"/>
    </row>
    <row r="3737" ht="12.75">
      <c r="V3737" s="147"/>
    </row>
    <row r="3738" ht="12.75">
      <c r="V3738" s="147"/>
    </row>
    <row r="3739" ht="12.75">
      <c r="V3739" s="147"/>
    </row>
    <row r="3740" ht="12.75">
      <c r="V3740" s="147"/>
    </row>
    <row r="3741" ht="12.75">
      <c r="V3741" s="147"/>
    </row>
    <row r="3742" ht="12.75">
      <c r="V3742" s="147"/>
    </row>
    <row r="3743" ht="12.75">
      <c r="V3743" s="147"/>
    </row>
    <row r="3744" ht="12.75">
      <c r="V3744" s="147"/>
    </row>
    <row r="3745" ht="12.75">
      <c r="V3745" s="147"/>
    </row>
    <row r="3746" ht="12.75">
      <c r="V3746" s="147"/>
    </row>
    <row r="3747" ht="12.75">
      <c r="V3747" s="147"/>
    </row>
    <row r="3748" ht="12.75">
      <c r="V3748" s="147"/>
    </row>
    <row r="3749" ht="12.75">
      <c r="V3749" s="147"/>
    </row>
    <row r="3750" ht="12.75">
      <c r="V3750" s="147"/>
    </row>
    <row r="3751" ht="12.75">
      <c r="V3751" s="147"/>
    </row>
    <row r="3752" ht="12.75">
      <c r="V3752" s="147"/>
    </row>
    <row r="3753" ht="12.75">
      <c r="V3753" s="147"/>
    </row>
    <row r="3754" ht="12.75">
      <c r="V3754" s="147"/>
    </row>
    <row r="3755" ht="12.75">
      <c r="V3755" s="147"/>
    </row>
    <row r="3756" ht="12.75">
      <c r="V3756" s="147"/>
    </row>
    <row r="3757" ht="12.75">
      <c r="V3757" s="147"/>
    </row>
    <row r="3758" ht="12.75">
      <c r="V3758" s="147"/>
    </row>
    <row r="3759" ht="12.75">
      <c r="V3759" s="147"/>
    </row>
    <row r="3760" ht="12.75">
      <c r="V3760" s="147"/>
    </row>
    <row r="3761" ht="12.75">
      <c r="V3761" s="147"/>
    </row>
    <row r="3762" ht="12.75">
      <c r="V3762" s="147"/>
    </row>
    <row r="3763" ht="12.75">
      <c r="V3763" s="147"/>
    </row>
    <row r="3764" ht="12.75">
      <c r="V3764" s="147"/>
    </row>
    <row r="3765" ht="12.75">
      <c r="V3765" s="147"/>
    </row>
    <row r="3766" ht="12.75">
      <c r="V3766" s="147"/>
    </row>
    <row r="3767" ht="12.75">
      <c r="V3767" s="147"/>
    </row>
    <row r="3768" ht="12.75">
      <c r="V3768" s="147"/>
    </row>
    <row r="3769" ht="12.75">
      <c r="V3769" s="147"/>
    </row>
    <row r="3770" ht="12.75">
      <c r="V3770" s="147"/>
    </row>
    <row r="3771" ht="12.75">
      <c r="V3771" s="147"/>
    </row>
    <row r="3772" ht="12.75">
      <c r="V3772" s="147"/>
    </row>
    <row r="3773" ht="12.75">
      <c r="V3773" s="147"/>
    </row>
    <row r="3774" ht="12.75">
      <c r="V3774" s="147"/>
    </row>
    <row r="3775" ht="12.75">
      <c r="V3775" s="147"/>
    </row>
    <row r="3776" ht="12.75">
      <c r="V3776" s="147"/>
    </row>
    <row r="3777" ht="12.75">
      <c r="V3777" s="147"/>
    </row>
    <row r="3778" ht="12.75">
      <c r="V3778" s="147"/>
    </row>
    <row r="3779" ht="12.75">
      <c r="V3779" s="147"/>
    </row>
    <row r="3780" ht="12.75">
      <c r="V3780" s="147"/>
    </row>
    <row r="3781" ht="12.75">
      <c r="V3781" s="147"/>
    </row>
    <row r="3782" ht="12.75">
      <c r="V3782" s="147"/>
    </row>
    <row r="3783" ht="12.75">
      <c r="V3783" s="147"/>
    </row>
    <row r="3784" ht="12.75">
      <c r="V3784" s="147"/>
    </row>
    <row r="3785" ht="12.75">
      <c r="V3785" s="147"/>
    </row>
    <row r="3786" ht="12.75">
      <c r="V3786" s="147"/>
    </row>
    <row r="3787" ht="12.75">
      <c r="V3787" s="147"/>
    </row>
    <row r="3788" ht="12.75">
      <c r="V3788" s="147"/>
    </row>
    <row r="3789" ht="12.75">
      <c r="V3789" s="147"/>
    </row>
    <row r="3790" ht="12.75">
      <c r="V3790" s="147"/>
    </row>
    <row r="3791" ht="12.75">
      <c r="V3791" s="147"/>
    </row>
    <row r="3792" ht="12.75">
      <c r="V3792" s="147"/>
    </row>
    <row r="3793" ht="12.75">
      <c r="V3793" s="147"/>
    </row>
    <row r="3794" ht="12.75">
      <c r="V3794" s="147"/>
    </row>
    <row r="3795" ht="12.75">
      <c r="V3795" s="147"/>
    </row>
    <row r="3796" ht="12.75">
      <c r="V3796" s="147"/>
    </row>
    <row r="3797" ht="12.75">
      <c r="V3797" s="147"/>
    </row>
    <row r="3798" ht="12.75">
      <c r="V3798" s="147"/>
    </row>
    <row r="3799" ht="12.75">
      <c r="V3799" s="147"/>
    </row>
    <row r="3800" ht="12.75">
      <c r="V3800" s="147"/>
    </row>
    <row r="3801" ht="12.75">
      <c r="V3801" s="147"/>
    </row>
    <row r="3802" ht="12.75">
      <c r="V3802" s="147"/>
    </row>
    <row r="3803" ht="12.75">
      <c r="V3803" s="147"/>
    </row>
    <row r="3804" ht="12.75">
      <c r="V3804" s="147"/>
    </row>
    <row r="3805" ht="12.75">
      <c r="V3805" s="147"/>
    </row>
    <row r="3806" ht="12.75">
      <c r="V3806" s="147"/>
    </row>
    <row r="3807" ht="12.75">
      <c r="V3807" s="147"/>
    </row>
    <row r="3808" ht="12.75">
      <c r="V3808" s="147"/>
    </row>
    <row r="3809" ht="12.75">
      <c r="V3809" s="147"/>
    </row>
    <row r="3810" ht="12.75">
      <c r="V3810" s="147"/>
    </row>
    <row r="3811" ht="12.75">
      <c r="V3811" s="147"/>
    </row>
    <row r="3812" ht="12.75">
      <c r="V3812" s="147"/>
    </row>
    <row r="3813" ht="12.75">
      <c r="V3813" s="147"/>
    </row>
    <row r="3814" ht="12.75">
      <c r="V3814" s="147"/>
    </row>
    <row r="3815" ht="12.75">
      <c r="V3815" s="147"/>
    </row>
    <row r="3816" ht="12.75">
      <c r="V3816" s="147"/>
    </row>
    <row r="3817" ht="12.75">
      <c r="V3817" s="147"/>
    </row>
    <row r="3818" ht="12.75">
      <c r="V3818" s="147"/>
    </row>
    <row r="3819" ht="12.75">
      <c r="V3819" s="147"/>
    </row>
    <row r="3820" ht="12.75">
      <c r="V3820" s="147"/>
    </row>
    <row r="3821" ht="12.75">
      <c r="V3821" s="147"/>
    </row>
    <row r="3822" ht="12.75">
      <c r="V3822" s="147"/>
    </row>
    <row r="3823" ht="12.75">
      <c r="V3823" s="147"/>
    </row>
    <row r="3824" ht="12.75">
      <c r="V3824" s="147"/>
    </row>
    <row r="3825" ht="12.75">
      <c r="V3825" s="147"/>
    </row>
    <row r="3826" ht="12.75">
      <c r="V3826" s="147"/>
    </row>
    <row r="3827" ht="12.75">
      <c r="V3827" s="147"/>
    </row>
    <row r="3828" ht="12.75">
      <c r="V3828" s="147"/>
    </row>
    <row r="3829" ht="12.75">
      <c r="V3829" s="147"/>
    </row>
    <row r="3830" ht="12.75">
      <c r="V3830" s="147"/>
    </row>
    <row r="3831" ht="12.75">
      <c r="V3831" s="147"/>
    </row>
    <row r="3832" ht="12.75">
      <c r="V3832" s="147"/>
    </row>
    <row r="3833" ht="12.75">
      <c r="V3833" s="147"/>
    </row>
    <row r="3834" ht="12.75">
      <c r="V3834" s="147"/>
    </row>
    <row r="3835" ht="12.75">
      <c r="V3835" s="147"/>
    </row>
    <row r="3836" ht="12.75">
      <c r="V3836" s="147"/>
    </row>
    <row r="3837" ht="12.75">
      <c r="V3837" s="147"/>
    </row>
    <row r="3838" ht="12.75">
      <c r="V3838" s="147"/>
    </row>
    <row r="3839" ht="12.75">
      <c r="V3839" s="147"/>
    </row>
    <row r="3840" ht="12.75">
      <c r="V3840" s="147"/>
    </row>
    <row r="3841" ht="12.75">
      <c r="V3841" s="147"/>
    </row>
    <row r="3842" ht="12.75">
      <c r="V3842" s="147"/>
    </row>
    <row r="3843" ht="12.75">
      <c r="V3843" s="147"/>
    </row>
    <row r="3844" ht="12.75">
      <c r="V3844" s="147"/>
    </row>
    <row r="3845" ht="12.75">
      <c r="V3845" s="147"/>
    </row>
    <row r="3846" ht="12.75">
      <c r="V3846" s="147"/>
    </row>
    <row r="3847" ht="12.75">
      <c r="V3847" s="147"/>
    </row>
    <row r="3848" ht="12.75">
      <c r="V3848" s="147"/>
    </row>
    <row r="3849" ht="12.75">
      <c r="V3849" s="147"/>
    </row>
    <row r="3850" ht="12.75">
      <c r="V3850" s="147"/>
    </row>
    <row r="3851" ht="12.75">
      <c r="V3851" s="147"/>
    </row>
    <row r="3852" ht="12.75">
      <c r="V3852" s="147"/>
    </row>
    <row r="3853" ht="12.75">
      <c r="V3853" s="147"/>
    </row>
    <row r="3854" ht="12.75">
      <c r="V3854" s="147"/>
    </row>
    <row r="3855" ht="12.75">
      <c r="V3855" s="147"/>
    </row>
    <row r="3856" ht="12.75">
      <c r="V3856" s="147"/>
    </row>
    <row r="3857" ht="12.75">
      <c r="V3857" s="147"/>
    </row>
    <row r="3858" ht="12.75">
      <c r="V3858" s="147"/>
    </row>
    <row r="3859" ht="12.75">
      <c r="V3859" s="147"/>
    </row>
    <row r="3860" ht="12.75">
      <c r="V3860" s="147"/>
    </row>
    <row r="3861" ht="12.75">
      <c r="V3861" s="147"/>
    </row>
    <row r="3862" ht="12.75">
      <c r="V3862" s="147"/>
    </row>
    <row r="3863" ht="12.75">
      <c r="V3863" s="147"/>
    </row>
    <row r="3864" ht="12.75">
      <c r="V3864" s="147"/>
    </row>
    <row r="3865" ht="12.75">
      <c r="V3865" s="147"/>
    </row>
    <row r="3866" ht="12.75">
      <c r="V3866" s="147"/>
    </row>
    <row r="3867" ht="12.75">
      <c r="V3867" s="147"/>
    </row>
    <row r="3868" ht="12.75">
      <c r="V3868" s="147"/>
    </row>
    <row r="3869" ht="12.75">
      <c r="V3869" s="147"/>
    </row>
    <row r="3870" ht="12.75">
      <c r="V3870" s="147"/>
    </row>
    <row r="3871" ht="12.75">
      <c r="V3871" s="147"/>
    </row>
    <row r="3872" ht="12.75">
      <c r="V3872" s="147"/>
    </row>
    <row r="3873" ht="12.75">
      <c r="V3873" s="147"/>
    </row>
    <row r="3874" ht="12.75">
      <c r="V3874" s="147"/>
    </row>
    <row r="3875" ht="12.75">
      <c r="V3875" s="147"/>
    </row>
    <row r="3876" ht="12.75">
      <c r="V3876" s="147"/>
    </row>
    <row r="3877" ht="12.75">
      <c r="V3877" s="147"/>
    </row>
    <row r="3878" ht="12.75">
      <c r="V3878" s="147"/>
    </row>
    <row r="3879" ht="12.75">
      <c r="V3879" s="147"/>
    </row>
    <row r="3880" ht="12.75">
      <c r="V3880" s="147"/>
    </row>
    <row r="3881" ht="12.75">
      <c r="V3881" s="147"/>
    </row>
    <row r="3882" ht="12.75">
      <c r="V3882" s="147"/>
    </row>
    <row r="3883" ht="12.75">
      <c r="V3883" s="147"/>
    </row>
    <row r="3884" ht="12.75">
      <c r="V3884" s="147"/>
    </row>
    <row r="3885" ht="12.75">
      <c r="V3885" s="147"/>
    </row>
    <row r="3886" ht="12.75">
      <c r="V3886" s="147"/>
    </row>
    <row r="3887" ht="12.75">
      <c r="V3887" s="147"/>
    </row>
    <row r="3888" ht="12.75">
      <c r="V3888" s="147"/>
    </row>
    <row r="3889" ht="12.75">
      <c r="V3889" s="147"/>
    </row>
    <row r="3890" ht="12.75">
      <c r="V3890" s="147"/>
    </row>
    <row r="3891" ht="12.75">
      <c r="V3891" s="147"/>
    </row>
    <row r="3892" ht="12.75">
      <c r="V3892" s="147"/>
    </row>
    <row r="3893" ht="12.75">
      <c r="V3893" s="147"/>
    </row>
    <row r="3894" ht="12.75">
      <c r="V3894" s="147"/>
    </row>
    <row r="3895" ht="12.75">
      <c r="V3895" s="147"/>
    </row>
    <row r="3896" ht="12.75">
      <c r="V3896" s="147"/>
    </row>
    <row r="3897" ht="12.75">
      <c r="V3897" s="147"/>
    </row>
    <row r="3898" ht="12.75">
      <c r="V3898" s="147"/>
    </row>
    <row r="3899" ht="12.75">
      <c r="V3899" s="147"/>
    </row>
    <row r="3900" ht="12.75">
      <c r="V3900" s="147"/>
    </row>
    <row r="3901" ht="12.75">
      <c r="V3901" s="147"/>
    </row>
    <row r="3902" ht="12.75">
      <c r="V3902" s="147"/>
    </row>
    <row r="3903" ht="12.75">
      <c r="V3903" s="147"/>
    </row>
    <row r="3904" ht="12.75">
      <c r="V3904" s="147"/>
    </row>
    <row r="3905" ht="12.75">
      <c r="V3905" s="147"/>
    </row>
    <row r="3906" ht="12.75">
      <c r="V3906" s="147"/>
    </row>
    <row r="3907" ht="12.75">
      <c r="V3907" s="147"/>
    </row>
    <row r="3908" ht="12.75">
      <c r="V3908" s="147"/>
    </row>
    <row r="3909" ht="12.75">
      <c r="V3909" s="147"/>
    </row>
    <row r="3910" ht="12.75">
      <c r="V3910" s="147"/>
    </row>
    <row r="3911" ht="12.75">
      <c r="V3911" s="147"/>
    </row>
    <row r="3912" ht="12.75">
      <c r="V3912" s="147"/>
    </row>
    <row r="3913" ht="12.75">
      <c r="V3913" s="147"/>
    </row>
    <row r="3914" ht="12.75">
      <c r="V3914" s="147"/>
    </row>
    <row r="3915" ht="12.75">
      <c r="V3915" s="147"/>
    </row>
    <row r="3916" ht="12.75">
      <c r="V3916" s="147"/>
    </row>
    <row r="3917" ht="12.75">
      <c r="V3917" s="147"/>
    </row>
    <row r="3918" ht="12.75">
      <c r="V3918" s="147"/>
    </row>
    <row r="3919" ht="12.75">
      <c r="V3919" s="147"/>
    </row>
    <row r="3920" ht="12.75">
      <c r="V3920" s="147"/>
    </row>
    <row r="3921" ht="12.75">
      <c r="V3921" s="147"/>
    </row>
    <row r="3922" ht="12.75">
      <c r="V3922" s="147"/>
    </row>
    <row r="3923" ht="12.75">
      <c r="V3923" s="147"/>
    </row>
    <row r="3924" ht="12.75">
      <c r="V3924" s="147"/>
    </row>
    <row r="3925" ht="12.75">
      <c r="V3925" s="147"/>
    </row>
    <row r="3926" ht="12.75">
      <c r="V3926" s="147"/>
    </row>
    <row r="3927" ht="12.75">
      <c r="V3927" s="147"/>
    </row>
    <row r="3928" ht="12.75">
      <c r="V3928" s="147"/>
    </row>
    <row r="3929" ht="12.75">
      <c r="V3929" s="147"/>
    </row>
    <row r="3930" ht="12.75">
      <c r="V3930" s="147"/>
    </row>
    <row r="3931" ht="12.75">
      <c r="V3931" s="147"/>
    </row>
    <row r="3932" ht="12.75">
      <c r="V3932" s="147"/>
    </row>
    <row r="3933" ht="12.75">
      <c r="V3933" s="147"/>
    </row>
    <row r="3934" ht="12.75">
      <c r="V3934" s="147"/>
    </row>
    <row r="3935" ht="12.75">
      <c r="V3935" s="147"/>
    </row>
    <row r="3936" ht="12.75">
      <c r="V3936" s="147"/>
    </row>
    <row r="3937" ht="12.75">
      <c r="V3937" s="147"/>
    </row>
    <row r="3938" ht="12.75">
      <c r="V3938" s="147"/>
    </row>
    <row r="3939" ht="12.75">
      <c r="V3939" s="147"/>
    </row>
    <row r="3940" ht="12.75">
      <c r="V3940" s="147"/>
    </row>
    <row r="3941" ht="12.75">
      <c r="V3941" s="147"/>
    </row>
    <row r="3942" ht="12.75">
      <c r="V3942" s="147"/>
    </row>
    <row r="3943" ht="12.75">
      <c r="V3943" s="147"/>
    </row>
    <row r="3944" ht="12.75">
      <c r="V3944" s="147"/>
    </row>
    <row r="3945" ht="12.75">
      <c r="V3945" s="147"/>
    </row>
    <row r="3946" ht="12.75">
      <c r="V3946" s="147"/>
    </row>
    <row r="3947" ht="12.75">
      <c r="V3947" s="147"/>
    </row>
    <row r="3948" ht="12.75">
      <c r="V3948" s="147"/>
    </row>
    <row r="3949" ht="12.75">
      <c r="V3949" s="147"/>
    </row>
    <row r="3950" ht="12.75">
      <c r="V3950" s="147"/>
    </row>
    <row r="3951" ht="12.75">
      <c r="V3951" s="147"/>
    </row>
    <row r="3952" ht="12.75">
      <c r="V3952" s="147"/>
    </row>
    <row r="3953" ht="12.75">
      <c r="V3953" s="147"/>
    </row>
    <row r="3954" ht="12.75">
      <c r="V3954" s="147"/>
    </row>
    <row r="3955" ht="12.75">
      <c r="V3955" s="147"/>
    </row>
    <row r="3956" ht="12.75">
      <c r="V3956" s="147"/>
    </row>
    <row r="3957" ht="12.75">
      <c r="V3957" s="147"/>
    </row>
    <row r="3958" ht="12.75">
      <c r="V3958" s="147"/>
    </row>
    <row r="3959" ht="12.75">
      <c r="V3959" s="147"/>
    </row>
    <row r="3960" ht="12.75">
      <c r="V3960" s="147"/>
    </row>
    <row r="3961" ht="12.75">
      <c r="V3961" s="147"/>
    </row>
    <row r="3962" ht="12.75">
      <c r="V3962" s="147"/>
    </row>
    <row r="3963" ht="12.75">
      <c r="V3963" s="147"/>
    </row>
    <row r="3964" ht="12.75">
      <c r="V3964" s="147"/>
    </row>
    <row r="3965" ht="12.75">
      <c r="V3965" s="147"/>
    </row>
    <row r="3966" ht="12.75">
      <c r="V3966" s="147"/>
    </row>
    <row r="3967" ht="12.75">
      <c r="V3967" s="147"/>
    </row>
    <row r="3968" ht="12.75">
      <c r="V3968" s="147"/>
    </row>
    <row r="3969" ht="12.75">
      <c r="V3969" s="147"/>
    </row>
    <row r="3970" ht="12.75">
      <c r="V3970" s="147"/>
    </row>
    <row r="3971" ht="12.75">
      <c r="V3971" s="147"/>
    </row>
    <row r="3972" ht="12.75">
      <c r="V3972" s="147"/>
    </row>
    <row r="3973" ht="12.75">
      <c r="V3973" s="147"/>
    </row>
    <row r="3974" ht="12.75">
      <c r="V3974" s="147"/>
    </row>
    <row r="3975" ht="12.75">
      <c r="V3975" s="147"/>
    </row>
    <row r="3976" ht="12.75">
      <c r="V3976" s="147"/>
    </row>
    <row r="3977" ht="12.75">
      <c r="V3977" s="147"/>
    </row>
    <row r="3978" ht="12.75">
      <c r="V3978" s="147"/>
    </row>
    <row r="3979" ht="12.75">
      <c r="V3979" s="147"/>
    </row>
    <row r="3980" ht="12.75">
      <c r="V3980" s="147"/>
    </row>
    <row r="3981" ht="12.75">
      <c r="V3981" s="147"/>
    </row>
    <row r="3982" ht="12.75">
      <c r="V3982" s="147"/>
    </row>
    <row r="3983" ht="12.75">
      <c r="V3983" s="147"/>
    </row>
    <row r="3984" ht="12.75">
      <c r="V3984" s="147"/>
    </row>
    <row r="3985" ht="12.75">
      <c r="V3985" s="147"/>
    </row>
    <row r="3986" ht="12.75">
      <c r="V3986" s="147"/>
    </row>
    <row r="3987" ht="12.75">
      <c r="V3987" s="147"/>
    </row>
    <row r="3988" ht="12.75">
      <c r="V3988" s="147"/>
    </row>
    <row r="3989" ht="12.75">
      <c r="V3989" s="147"/>
    </row>
    <row r="3990" ht="12.75">
      <c r="V3990" s="147"/>
    </row>
    <row r="3991" ht="12.75">
      <c r="V3991" s="147"/>
    </row>
    <row r="3992" ht="12.75">
      <c r="V3992" s="147"/>
    </row>
    <row r="3993" ht="12.75">
      <c r="V3993" s="147"/>
    </row>
    <row r="3994" ht="12.75">
      <c r="V3994" s="147"/>
    </row>
    <row r="3995" ht="12.75">
      <c r="V3995" s="147"/>
    </row>
    <row r="3996" ht="12.75">
      <c r="V3996" s="147"/>
    </row>
    <row r="3997" ht="12.75">
      <c r="V3997" s="147"/>
    </row>
    <row r="3998" ht="12.75">
      <c r="V3998" s="147"/>
    </row>
    <row r="3999" ht="12.75">
      <c r="V3999" s="147"/>
    </row>
    <row r="4000" ht="12.75">
      <c r="V4000" s="147"/>
    </row>
    <row r="4001" ht="12.75">
      <c r="V4001" s="147"/>
    </row>
    <row r="4002" ht="12.75">
      <c r="V4002" s="147"/>
    </row>
    <row r="4003" ht="12.75">
      <c r="V4003" s="147"/>
    </row>
    <row r="4004" ht="12.75">
      <c r="V4004" s="147"/>
    </row>
    <row r="4005" ht="12.75">
      <c r="V4005" s="147"/>
    </row>
    <row r="4006" ht="12.75">
      <c r="V4006" s="147"/>
    </row>
    <row r="4007" ht="12.75">
      <c r="V4007" s="147"/>
    </row>
    <row r="4008" ht="12.75">
      <c r="V4008" s="147"/>
    </row>
    <row r="4009" ht="12.75">
      <c r="V4009" s="147"/>
    </row>
    <row r="4010" ht="12.75">
      <c r="V4010" s="147"/>
    </row>
    <row r="4011" ht="12.75">
      <c r="V4011" s="147"/>
    </row>
    <row r="4012" ht="12.75">
      <c r="V4012" s="147"/>
    </row>
    <row r="4013" ht="12.75">
      <c r="V4013" s="147"/>
    </row>
    <row r="4014" ht="12.75">
      <c r="V4014" s="147"/>
    </row>
    <row r="4015" ht="12.75">
      <c r="V4015" s="147"/>
    </row>
    <row r="4016" ht="12.75">
      <c r="V4016" s="147"/>
    </row>
    <row r="4017" ht="12.75">
      <c r="V4017" s="147"/>
    </row>
    <row r="4018" ht="12.75">
      <c r="V4018" s="147"/>
    </row>
    <row r="4019" ht="12.75">
      <c r="V4019" s="147"/>
    </row>
    <row r="4020" ht="12.75">
      <c r="V4020" s="147"/>
    </row>
    <row r="4021" ht="12.75">
      <c r="V4021" s="147"/>
    </row>
    <row r="4022" ht="12.75">
      <c r="V4022" s="147"/>
    </row>
    <row r="4023" ht="12.75">
      <c r="V4023" s="147"/>
    </row>
    <row r="4024" ht="12.75">
      <c r="V4024" s="147"/>
    </row>
    <row r="4025" ht="12.75">
      <c r="V4025" s="147"/>
    </row>
    <row r="4026" ht="12.75">
      <c r="V4026" s="147"/>
    </row>
    <row r="4027" ht="12.75">
      <c r="V4027" s="147"/>
    </row>
    <row r="4028" ht="12.75">
      <c r="V4028" s="147"/>
    </row>
    <row r="4029" ht="12.75">
      <c r="V4029" s="147"/>
    </row>
    <row r="4030" ht="12.75">
      <c r="V4030" s="147"/>
    </row>
    <row r="4031" ht="12.75">
      <c r="V4031" s="147"/>
    </row>
    <row r="4032" ht="12.75">
      <c r="V4032" s="147"/>
    </row>
    <row r="4033" ht="12.75">
      <c r="V4033" s="147"/>
    </row>
    <row r="4034" ht="12.75">
      <c r="V4034" s="147"/>
    </row>
    <row r="4035" ht="12.75">
      <c r="V4035" s="147"/>
    </row>
    <row r="4036" ht="12.75">
      <c r="V4036" s="147"/>
    </row>
    <row r="4037" ht="12.75">
      <c r="V4037" s="147"/>
    </row>
    <row r="4038" ht="12.75">
      <c r="V4038" s="147"/>
    </row>
    <row r="4039" ht="12.75">
      <c r="V4039" s="147"/>
    </row>
    <row r="4040" ht="12.75">
      <c r="V4040" s="147"/>
    </row>
    <row r="4041" ht="12.75">
      <c r="V4041" s="147"/>
    </row>
    <row r="4042" ht="12.75">
      <c r="V4042" s="147"/>
    </row>
    <row r="4043" ht="12.75">
      <c r="V4043" s="147"/>
    </row>
    <row r="4044" ht="12.75">
      <c r="V4044" s="147"/>
    </row>
    <row r="4045" ht="12.75">
      <c r="V4045" s="147"/>
    </row>
    <row r="4046" ht="12.75">
      <c r="V4046" s="147"/>
    </row>
    <row r="4047" ht="12.75">
      <c r="V4047" s="147"/>
    </row>
    <row r="4048" ht="12.75">
      <c r="V4048" s="147"/>
    </row>
    <row r="4049" ht="12.75">
      <c r="V4049" s="147"/>
    </row>
    <row r="4050" ht="12.75">
      <c r="V4050" s="147"/>
    </row>
    <row r="4051" ht="12.75">
      <c r="V4051" s="147"/>
    </row>
    <row r="4052" ht="12.75">
      <c r="V4052" s="147"/>
    </row>
    <row r="4053" ht="12.75">
      <c r="V4053" s="147"/>
    </row>
    <row r="4054" ht="12.75">
      <c r="V4054" s="147"/>
    </row>
    <row r="4055" ht="12.75">
      <c r="V4055" s="147"/>
    </row>
    <row r="4056" ht="12.75">
      <c r="V4056" s="147"/>
    </row>
    <row r="4057" ht="12.75">
      <c r="V4057" s="147"/>
    </row>
    <row r="4058" ht="12.75">
      <c r="V4058" s="147"/>
    </row>
    <row r="4059" ht="12.75">
      <c r="V4059" s="147"/>
    </row>
    <row r="4060" ht="12.75">
      <c r="V4060" s="147"/>
    </row>
    <row r="4061" ht="12.75">
      <c r="V4061" s="147"/>
    </row>
    <row r="4062" ht="12.75">
      <c r="V4062" s="147"/>
    </row>
    <row r="4063" ht="12.75">
      <c r="V4063" s="147"/>
    </row>
    <row r="4064" ht="12.75">
      <c r="V4064" s="147"/>
    </row>
    <row r="4065" ht="12.75">
      <c r="V4065" s="147"/>
    </row>
    <row r="4066" ht="12.75">
      <c r="V4066" s="147"/>
    </row>
    <row r="4067" ht="12.75">
      <c r="V4067" s="147"/>
    </row>
    <row r="4068" ht="12.75">
      <c r="V4068" s="147"/>
    </row>
    <row r="4069" ht="12.75">
      <c r="V4069" s="147"/>
    </row>
    <row r="4070" ht="12.75">
      <c r="V4070" s="147"/>
    </row>
    <row r="4071" ht="12.75">
      <c r="V4071" s="147"/>
    </row>
    <row r="4072" ht="12.75">
      <c r="V4072" s="147"/>
    </row>
    <row r="4073" ht="12.75">
      <c r="V4073" s="147"/>
    </row>
    <row r="4074" ht="12.75">
      <c r="V4074" s="147"/>
    </row>
    <row r="4075" ht="12.75">
      <c r="V4075" s="147"/>
    </row>
    <row r="4076" ht="12.75">
      <c r="V4076" s="147"/>
    </row>
    <row r="4077" ht="12.75">
      <c r="V4077" s="147"/>
    </row>
    <row r="4078" ht="12.75">
      <c r="V4078" s="147"/>
    </row>
    <row r="4079" ht="12.75">
      <c r="V4079" s="147"/>
    </row>
    <row r="4080" ht="12.75">
      <c r="V4080" s="147"/>
    </row>
    <row r="4081" ht="12.75">
      <c r="V4081" s="147"/>
    </row>
    <row r="4082" ht="12.75">
      <c r="V4082" s="147"/>
    </row>
    <row r="4083" ht="12.75">
      <c r="V4083" s="147"/>
    </row>
    <row r="4084" ht="12.75">
      <c r="V4084" s="147"/>
    </row>
    <row r="4085" ht="12.75">
      <c r="V4085" s="147"/>
    </row>
    <row r="4086" ht="12.75">
      <c r="V4086" s="147"/>
    </row>
    <row r="4087" ht="12.75">
      <c r="V4087" s="147"/>
    </row>
    <row r="4088" ht="12.75">
      <c r="V4088" s="147"/>
    </row>
    <row r="4089" ht="12.75">
      <c r="V4089" s="147"/>
    </row>
    <row r="4090" ht="12.75">
      <c r="V4090" s="147"/>
    </row>
    <row r="4091" ht="12.75">
      <c r="V4091" s="147"/>
    </row>
    <row r="4092" ht="12.75">
      <c r="V4092" s="147"/>
    </row>
    <row r="4093" ht="12.75">
      <c r="V4093" s="147"/>
    </row>
    <row r="4094" ht="12.75">
      <c r="V4094" s="147"/>
    </row>
    <row r="4095" ht="12.75">
      <c r="V4095" s="147"/>
    </row>
    <row r="4096" ht="12.75">
      <c r="V4096" s="147"/>
    </row>
    <row r="4097" ht="12.75">
      <c r="V4097" s="147"/>
    </row>
    <row r="4098" ht="12.75">
      <c r="V4098" s="147"/>
    </row>
    <row r="4099" ht="12.75">
      <c r="V4099" s="147"/>
    </row>
    <row r="4100" ht="12.75">
      <c r="V4100" s="147"/>
    </row>
    <row r="4101" ht="12.75">
      <c r="V4101" s="147"/>
    </row>
    <row r="4102" ht="12.75">
      <c r="V4102" s="147"/>
    </row>
    <row r="4103" ht="12.75">
      <c r="V4103" s="147"/>
    </row>
    <row r="4104" ht="12.75">
      <c r="V4104" s="147"/>
    </row>
    <row r="4105" ht="12.75">
      <c r="V4105" s="147"/>
    </row>
    <row r="4106" ht="12.75">
      <c r="V4106" s="147"/>
    </row>
    <row r="4107" ht="12.75">
      <c r="V4107" s="147"/>
    </row>
    <row r="4108" ht="12.75">
      <c r="V4108" s="147"/>
    </row>
    <row r="4109" ht="12.75">
      <c r="V4109" s="147"/>
    </row>
    <row r="4110" ht="12.75">
      <c r="V4110" s="147"/>
    </row>
    <row r="4111" ht="12.75">
      <c r="V4111" s="147"/>
    </row>
    <row r="4112" ht="12.75">
      <c r="V4112" s="147"/>
    </row>
    <row r="4113" ht="12.75">
      <c r="V4113" s="147"/>
    </row>
    <row r="4114" ht="12.75">
      <c r="V4114" s="147"/>
    </row>
    <row r="4115" ht="12.75">
      <c r="V4115" s="147"/>
    </row>
    <row r="4116" ht="12.75">
      <c r="V4116" s="147"/>
    </row>
    <row r="4117" ht="12.75">
      <c r="V4117" s="147"/>
    </row>
    <row r="4118" ht="12.75">
      <c r="V4118" s="147"/>
    </row>
    <row r="4119" ht="12.75">
      <c r="V4119" s="147"/>
    </row>
    <row r="4120" ht="12.75">
      <c r="V4120" s="147"/>
    </row>
    <row r="4121" ht="12.75">
      <c r="V4121" s="147"/>
    </row>
    <row r="4122" ht="12.75">
      <c r="V4122" s="147"/>
    </row>
    <row r="4123" ht="12.75">
      <c r="V4123" s="147"/>
    </row>
    <row r="4124" ht="12.75">
      <c r="V4124" s="147"/>
    </row>
    <row r="4125" ht="12.75">
      <c r="V4125" s="147"/>
    </row>
    <row r="4126" ht="12.75">
      <c r="V4126" s="147"/>
    </row>
    <row r="4127" ht="12.75">
      <c r="V4127" s="147"/>
    </row>
    <row r="4128" ht="12.75">
      <c r="V4128" s="147"/>
    </row>
    <row r="4129" ht="12.75">
      <c r="V4129" s="147"/>
    </row>
    <row r="4130" ht="12.75">
      <c r="V4130" s="147"/>
    </row>
    <row r="4131" ht="12.75">
      <c r="V4131" s="147"/>
    </row>
    <row r="4132" ht="12.75">
      <c r="V4132" s="147"/>
    </row>
    <row r="4133" ht="12.75">
      <c r="V4133" s="147"/>
    </row>
    <row r="4134" ht="12.75">
      <c r="V4134" s="147"/>
    </row>
    <row r="4135" ht="12.75">
      <c r="V4135" s="147"/>
    </row>
    <row r="4136" ht="12.75">
      <c r="V4136" s="147"/>
    </row>
    <row r="4137" ht="12.75">
      <c r="V4137" s="147"/>
    </row>
    <row r="4138" ht="12.75">
      <c r="V4138" s="147"/>
    </row>
    <row r="4139" ht="12.75">
      <c r="V4139" s="147"/>
    </row>
    <row r="4140" ht="12.75">
      <c r="V4140" s="147"/>
    </row>
    <row r="4141" ht="12.75">
      <c r="V4141" s="147"/>
    </row>
    <row r="4142" ht="12.75">
      <c r="V4142" s="147"/>
    </row>
    <row r="4143" ht="12.75">
      <c r="V4143" s="147"/>
    </row>
    <row r="4144" ht="12.75">
      <c r="V4144" s="147"/>
    </row>
    <row r="4145" ht="12.75">
      <c r="V4145" s="147"/>
    </row>
    <row r="4146" ht="12.75">
      <c r="V4146" s="147"/>
    </row>
    <row r="4147" ht="12.75">
      <c r="V4147" s="147"/>
    </row>
    <row r="4148" ht="12.75">
      <c r="V4148" s="147"/>
    </row>
    <row r="4149" ht="12.75">
      <c r="V4149" s="147"/>
    </row>
    <row r="4150" ht="12.75">
      <c r="V4150" s="147"/>
    </row>
    <row r="4151" ht="12.75">
      <c r="V4151" s="147"/>
    </row>
    <row r="4152" ht="12.75">
      <c r="V4152" s="147"/>
    </row>
    <row r="4153" ht="12.75">
      <c r="V4153" s="147"/>
    </row>
    <row r="4154" ht="12.75">
      <c r="V4154" s="147"/>
    </row>
    <row r="4155" ht="12.75">
      <c r="V4155" s="147"/>
    </row>
    <row r="4156" ht="12.75">
      <c r="V4156" s="147"/>
    </row>
    <row r="4157" ht="12.75">
      <c r="V4157" s="147"/>
    </row>
    <row r="4158" ht="12.75">
      <c r="V4158" s="147"/>
    </row>
    <row r="4159" ht="12.75">
      <c r="V4159" s="147"/>
    </row>
    <row r="4160" ht="12.75">
      <c r="V4160" s="147"/>
    </row>
    <row r="4161" ht="12.75">
      <c r="V4161" s="147"/>
    </row>
    <row r="4162" ht="12.75">
      <c r="V4162" s="147"/>
    </row>
    <row r="4163" ht="12.75">
      <c r="V4163" s="147"/>
    </row>
    <row r="4164" ht="12.75">
      <c r="V4164" s="147"/>
    </row>
    <row r="4165" ht="12.75">
      <c r="V4165" s="147"/>
    </row>
    <row r="4166" ht="12.75">
      <c r="V4166" s="147"/>
    </row>
    <row r="4167" ht="12.75">
      <c r="V4167" s="147"/>
    </row>
    <row r="4168" ht="12.75">
      <c r="V4168" s="147"/>
    </row>
    <row r="4169" ht="12.75">
      <c r="V4169" s="147"/>
    </row>
    <row r="4170" ht="12.75">
      <c r="V4170" s="147"/>
    </row>
    <row r="4171" ht="12.75">
      <c r="V4171" s="147"/>
    </row>
    <row r="4172" ht="12.75">
      <c r="V4172" s="147"/>
    </row>
    <row r="4173" ht="12.75">
      <c r="V4173" s="147"/>
    </row>
    <row r="4174" ht="12.75">
      <c r="V4174" s="147"/>
    </row>
    <row r="4175" ht="12.75">
      <c r="V4175" s="147"/>
    </row>
    <row r="4176" ht="12.75">
      <c r="V4176" s="147"/>
    </row>
    <row r="4177" ht="12.75">
      <c r="V4177" s="147"/>
    </row>
    <row r="4178" ht="12.75">
      <c r="V4178" s="147"/>
    </row>
    <row r="4179" ht="12.75">
      <c r="V4179" s="147"/>
    </row>
    <row r="4180" ht="12.75">
      <c r="V4180" s="147"/>
    </row>
    <row r="4181" ht="12.75">
      <c r="V4181" s="147"/>
    </row>
    <row r="4182" ht="12.75">
      <c r="V4182" s="147"/>
    </row>
    <row r="4183" ht="12.75">
      <c r="V4183" s="147"/>
    </row>
    <row r="4184" ht="12.75">
      <c r="V4184" s="147"/>
    </row>
    <row r="4185" ht="12.75">
      <c r="V4185" s="147"/>
    </row>
    <row r="4186" ht="12.75">
      <c r="V4186" s="147"/>
    </row>
    <row r="4187" ht="12.75">
      <c r="V4187" s="147"/>
    </row>
    <row r="4188" ht="12.75">
      <c r="V4188" s="147"/>
    </row>
    <row r="4189" ht="12.75">
      <c r="V4189" s="147"/>
    </row>
    <row r="4190" ht="12.75">
      <c r="V4190" s="147"/>
    </row>
    <row r="4191" ht="12.75">
      <c r="V4191" s="147"/>
    </row>
    <row r="4192" ht="12.75">
      <c r="V4192" s="147"/>
    </row>
    <row r="4193" ht="12.75">
      <c r="V4193" s="147"/>
    </row>
    <row r="4194" ht="12.75">
      <c r="V4194" s="147"/>
    </row>
    <row r="4195" ht="12.75">
      <c r="V4195" s="147"/>
    </row>
    <row r="4196" ht="12.75">
      <c r="V4196" s="147"/>
    </row>
    <row r="4197" ht="12.75">
      <c r="V4197" s="147"/>
    </row>
    <row r="4198" ht="12.75">
      <c r="V4198" s="147"/>
    </row>
    <row r="4199" ht="12.75">
      <c r="V4199" s="147"/>
    </row>
    <row r="4200" ht="12.75">
      <c r="V4200" s="147"/>
    </row>
    <row r="4201" ht="12.75">
      <c r="V4201" s="147"/>
    </row>
    <row r="4202" ht="12.75">
      <c r="V4202" s="147"/>
    </row>
    <row r="4203" ht="12.75">
      <c r="V4203" s="147"/>
    </row>
    <row r="4204" ht="12.75">
      <c r="V4204" s="147"/>
    </row>
    <row r="4205" ht="12.75">
      <c r="V4205" s="147"/>
    </row>
    <row r="4206" ht="12.75">
      <c r="V4206" s="147"/>
    </row>
    <row r="4207" ht="12.75">
      <c r="V4207" s="147"/>
    </row>
    <row r="4208" ht="12.75">
      <c r="V4208" s="147"/>
    </row>
    <row r="4209" ht="12.75">
      <c r="V4209" s="147"/>
    </row>
    <row r="4210" ht="12.75">
      <c r="V4210" s="147"/>
    </row>
    <row r="4211" ht="12.75">
      <c r="V4211" s="147"/>
    </row>
    <row r="4212" ht="12.75">
      <c r="V4212" s="147"/>
    </row>
    <row r="4213" ht="12.75">
      <c r="V4213" s="147"/>
    </row>
    <row r="4214" ht="12.75">
      <c r="V4214" s="147"/>
    </row>
    <row r="4215" ht="12.75">
      <c r="V4215" s="147"/>
    </row>
    <row r="4216" ht="12.75">
      <c r="V4216" s="147"/>
    </row>
    <row r="4217" ht="12.75">
      <c r="V4217" s="147"/>
    </row>
    <row r="4218" ht="12.75">
      <c r="V4218" s="147"/>
    </row>
    <row r="4219" ht="12.75">
      <c r="V4219" s="147"/>
    </row>
    <row r="4220" ht="12.75">
      <c r="V4220" s="147"/>
    </row>
    <row r="4221" ht="12.75">
      <c r="V4221" s="147"/>
    </row>
    <row r="4222" ht="12.75">
      <c r="V4222" s="147"/>
    </row>
    <row r="4223" ht="12.75">
      <c r="V4223" s="147"/>
    </row>
    <row r="4224" ht="12.75">
      <c r="V4224" s="147"/>
    </row>
    <row r="4225" ht="12.75">
      <c r="V4225" s="147"/>
    </row>
    <row r="4226" ht="12.75">
      <c r="V4226" s="147"/>
    </row>
    <row r="4227" ht="12.75">
      <c r="V4227" s="147"/>
    </row>
    <row r="4228" ht="12.75">
      <c r="V4228" s="147"/>
    </row>
    <row r="4229" ht="12.75">
      <c r="V4229" s="147"/>
    </row>
    <row r="4230" ht="12.75">
      <c r="V4230" s="147"/>
    </row>
    <row r="4231" ht="12.75">
      <c r="V4231" s="147"/>
    </row>
    <row r="4232" ht="12.75">
      <c r="V4232" s="147"/>
    </row>
    <row r="4233" ht="12.75">
      <c r="V4233" s="147"/>
    </row>
    <row r="4234" ht="12.75">
      <c r="V4234" s="147"/>
    </row>
    <row r="4235" ht="12.75">
      <c r="V4235" s="147"/>
    </row>
    <row r="4236" ht="12.75">
      <c r="V4236" s="147"/>
    </row>
    <row r="4237" ht="12.75">
      <c r="V4237" s="147"/>
    </row>
    <row r="4238" ht="12.75">
      <c r="V4238" s="147"/>
    </row>
    <row r="4239" ht="12.75">
      <c r="V4239" s="147"/>
    </row>
    <row r="4240" ht="12.75">
      <c r="V4240" s="147"/>
    </row>
    <row r="4241" ht="12.75">
      <c r="V4241" s="147"/>
    </row>
    <row r="4242" ht="12.75">
      <c r="V4242" s="147"/>
    </row>
    <row r="4243" ht="12.75">
      <c r="V4243" s="147"/>
    </row>
    <row r="4244" ht="12.75">
      <c r="V4244" s="147"/>
    </row>
    <row r="4245" ht="12.75">
      <c r="V4245" s="147"/>
    </row>
    <row r="4246" ht="12.75">
      <c r="V4246" s="147"/>
    </row>
    <row r="4247" ht="12.75">
      <c r="V4247" s="147"/>
    </row>
    <row r="4248" ht="12.75">
      <c r="V4248" s="147"/>
    </row>
    <row r="4249" ht="12.75">
      <c r="V4249" s="147"/>
    </row>
    <row r="4250" ht="12.75">
      <c r="V4250" s="147"/>
    </row>
    <row r="4251" ht="12.75">
      <c r="V4251" s="147"/>
    </row>
    <row r="4252" ht="12.75">
      <c r="V4252" s="147"/>
    </row>
    <row r="4253" ht="12.75">
      <c r="V4253" s="147"/>
    </row>
    <row r="4254" ht="12.75">
      <c r="V4254" s="147"/>
    </row>
    <row r="4255" ht="12.75">
      <c r="V4255" s="147"/>
    </row>
    <row r="4256" ht="12.75">
      <c r="V4256" s="147"/>
    </row>
    <row r="4257" ht="12.75">
      <c r="V4257" s="147"/>
    </row>
    <row r="4258" ht="12.75">
      <c r="V4258" s="147"/>
    </row>
    <row r="4259" ht="12.75">
      <c r="V4259" s="147"/>
    </row>
    <row r="4260" ht="12.75">
      <c r="V4260" s="147"/>
    </row>
    <row r="4261" ht="12.75">
      <c r="V4261" s="147"/>
    </row>
    <row r="4262" ht="12.75">
      <c r="V4262" s="147"/>
    </row>
    <row r="4263" ht="12.75">
      <c r="V4263" s="147"/>
    </row>
    <row r="4264" ht="12.75">
      <c r="V4264" s="147"/>
    </row>
    <row r="4265" ht="12.75">
      <c r="V4265" s="147"/>
    </row>
    <row r="4266" ht="12.75">
      <c r="V4266" s="147"/>
    </row>
    <row r="4267" ht="12.75">
      <c r="V4267" s="147"/>
    </row>
    <row r="4268" ht="12.75">
      <c r="V4268" s="147"/>
    </row>
    <row r="4269" ht="12.75">
      <c r="V4269" s="147"/>
    </row>
    <row r="4270" ht="12.75">
      <c r="V4270" s="147"/>
    </row>
    <row r="4271" ht="12.75">
      <c r="V4271" s="147"/>
    </row>
    <row r="4272" ht="12.75">
      <c r="V4272" s="147"/>
    </row>
    <row r="4273" ht="12.75">
      <c r="V4273" s="147"/>
    </row>
    <row r="4274" ht="12.75">
      <c r="V4274" s="147"/>
    </row>
    <row r="4275" ht="12.75">
      <c r="V4275" s="147"/>
    </row>
    <row r="4276" ht="12.75">
      <c r="V4276" s="147"/>
    </row>
    <row r="4277" ht="12.75">
      <c r="V4277" s="147"/>
    </row>
    <row r="4278" ht="12.75">
      <c r="V4278" s="147"/>
    </row>
    <row r="4279" ht="12.75">
      <c r="V4279" s="147"/>
    </row>
    <row r="4280" ht="12.75">
      <c r="V4280" s="147"/>
    </row>
    <row r="4281" ht="12.75">
      <c r="V4281" s="147"/>
    </row>
    <row r="4282" ht="12.75">
      <c r="V4282" s="147"/>
    </row>
    <row r="4283" ht="12.75">
      <c r="V4283" s="147"/>
    </row>
    <row r="4284" ht="12.75">
      <c r="V4284" s="147"/>
    </row>
    <row r="4285" ht="12.75">
      <c r="V4285" s="147"/>
    </row>
    <row r="4286" ht="12.75">
      <c r="V4286" s="147"/>
    </row>
    <row r="4287" ht="12.75">
      <c r="V4287" s="147"/>
    </row>
    <row r="4288" ht="12.75">
      <c r="V4288" s="147"/>
    </row>
    <row r="4289" ht="12.75">
      <c r="V4289" s="147"/>
    </row>
    <row r="4290" ht="12.75">
      <c r="V4290" s="147"/>
    </row>
    <row r="4291" ht="12.75">
      <c r="V4291" s="147"/>
    </row>
    <row r="4292" ht="12.75">
      <c r="V4292" s="147"/>
    </row>
    <row r="4293" ht="12.75">
      <c r="V4293" s="147"/>
    </row>
    <row r="4294" ht="12.75">
      <c r="V4294" s="147"/>
    </row>
    <row r="4295" ht="12.75">
      <c r="V4295" s="147"/>
    </row>
    <row r="4296" ht="12.75">
      <c r="V4296" s="147"/>
    </row>
    <row r="4297" ht="12.75">
      <c r="V4297" s="147"/>
    </row>
    <row r="4298" ht="12.75">
      <c r="V4298" s="147"/>
    </row>
    <row r="4299" ht="12.75">
      <c r="V4299" s="147"/>
    </row>
    <row r="4300" ht="12.75">
      <c r="V4300" s="147"/>
    </row>
    <row r="4301" ht="12.75">
      <c r="V4301" s="147"/>
    </row>
    <row r="4302" ht="12.75">
      <c r="V4302" s="147"/>
    </row>
    <row r="4303" ht="12.75">
      <c r="V4303" s="147"/>
    </row>
    <row r="4304" ht="12.75">
      <c r="V4304" s="147"/>
    </row>
    <row r="4305" ht="12.75">
      <c r="V4305" s="147"/>
    </row>
    <row r="4306" ht="12.75">
      <c r="V4306" s="147"/>
    </row>
    <row r="4307" ht="12.75">
      <c r="V4307" s="147"/>
    </row>
    <row r="4308" ht="12.75">
      <c r="V4308" s="147"/>
    </row>
    <row r="4309" ht="12.75">
      <c r="V4309" s="147"/>
    </row>
    <row r="4310" ht="12.75">
      <c r="V4310" s="147"/>
    </row>
    <row r="4311" ht="12.75">
      <c r="V4311" s="147"/>
    </row>
    <row r="4312" ht="12.75">
      <c r="V4312" s="147"/>
    </row>
    <row r="4313" ht="12.75">
      <c r="V4313" s="147"/>
    </row>
    <row r="4314" ht="12.75">
      <c r="V4314" s="147"/>
    </row>
    <row r="4315" ht="12.75">
      <c r="V4315" s="147"/>
    </row>
    <row r="4316" ht="12.75">
      <c r="V4316" s="147"/>
    </row>
    <row r="4317" ht="12.75">
      <c r="V4317" s="147"/>
    </row>
    <row r="4318" ht="12.75">
      <c r="V4318" s="147"/>
    </row>
    <row r="4319" ht="12.75">
      <c r="V4319" s="147"/>
    </row>
    <row r="4320" ht="12.75">
      <c r="V4320" s="147"/>
    </row>
    <row r="4321" ht="12.75">
      <c r="V4321" s="147"/>
    </row>
    <row r="4322" ht="12.75">
      <c r="V4322" s="147"/>
    </row>
    <row r="4323" ht="12.75">
      <c r="V4323" s="147"/>
    </row>
    <row r="4324" ht="12.75">
      <c r="V4324" s="147"/>
    </row>
    <row r="4325" ht="12.75">
      <c r="V4325" s="147"/>
    </row>
    <row r="4326" ht="12.75">
      <c r="V4326" s="147"/>
    </row>
    <row r="4327" ht="12.75">
      <c r="V4327" s="147"/>
    </row>
    <row r="4328" ht="12.75">
      <c r="V4328" s="147"/>
    </row>
    <row r="4329" ht="12.75">
      <c r="V4329" s="147"/>
    </row>
    <row r="4330" ht="12.75">
      <c r="V4330" s="147"/>
    </row>
    <row r="4331" ht="12.75">
      <c r="V4331" s="147"/>
    </row>
    <row r="4332" ht="12.75">
      <c r="V4332" s="147"/>
    </row>
    <row r="4333" ht="12.75">
      <c r="V4333" s="147"/>
    </row>
    <row r="4334" ht="12.75">
      <c r="V4334" s="147"/>
    </row>
    <row r="4335" ht="12.75">
      <c r="V4335" s="147"/>
    </row>
    <row r="4336" ht="12.75">
      <c r="V4336" s="147"/>
    </row>
    <row r="4337" ht="12.75">
      <c r="V4337" s="147"/>
    </row>
    <row r="4338" ht="12.75">
      <c r="V4338" s="147"/>
    </row>
    <row r="4339" ht="12.75">
      <c r="V4339" s="147"/>
    </row>
    <row r="4340" ht="12.75">
      <c r="V4340" s="147"/>
    </row>
    <row r="4341" ht="12.75">
      <c r="V4341" s="147"/>
    </row>
    <row r="4342" ht="12.75">
      <c r="V4342" s="147"/>
    </row>
    <row r="4343" ht="12.75">
      <c r="V4343" s="147"/>
    </row>
    <row r="4344" ht="12.75">
      <c r="V4344" s="147"/>
    </row>
    <row r="4345" ht="12.75">
      <c r="V4345" s="147"/>
    </row>
    <row r="4346" ht="12.75">
      <c r="V4346" s="147"/>
    </row>
    <row r="4347" ht="12.75">
      <c r="V4347" s="147"/>
    </row>
    <row r="4348" ht="12.75">
      <c r="V4348" s="147"/>
    </row>
    <row r="4349" ht="12.75">
      <c r="V4349" s="147"/>
    </row>
    <row r="4350" ht="12.75">
      <c r="V4350" s="147"/>
    </row>
    <row r="4351" ht="12.75">
      <c r="V4351" s="147"/>
    </row>
    <row r="4352" ht="12.75">
      <c r="V4352" s="147"/>
    </row>
    <row r="4353" ht="12.75">
      <c r="V4353" s="147"/>
    </row>
    <row r="4354" ht="12.75">
      <c r="V4354" s="147"/>
    </row>
    <row r="4355" ht="12.75">
      <c r="V4355" s="147"/>
    </row>
    <row r="4356" ht="12.75">
      <c r="V4356" s="147"/>
    </row>
    <row r="4357" ht="12.75">
      <c r="V4357" s="147"/>
    </row>
    <row r="4358" ht="12.75">
      <c r="V4358" s="147"/>
    </row>
    <row r="4359" ht="12.75">
      <c r="V4359" s="147"/>
    </row>
    <row r="4360" ht="12.75">
      <c r="V4360" s="147"/>
    </row>
    <row r="4361" ht="12.75">
      <c r="V4361" s="147"/>
    </row>
    <row r="4362" ht="12.75">
      <c r="V4362" s="147"/>
    </row>
    <row r="4363" ht="12.75">
      <c r="V4363" s="147"/>
    </row>
    <row r="4364" ht="12.75">
      <c r="V4364" s="147"/>
    </row>
    <row r="4365" ht="12.75">
      <c r="V4365" s="147"/>
    </row>
    <row r="4366" ht="12.75">
      <c r="V4366" s="147"/>
    </row>
    <row r="4367" ht="12.75">
      <c r="V4367" s="147"/>
    </row>
    <row r="4368" ht="12.75">
      <c r="V4368" s="147"/>
    </row>
    <row r="4369" ht="12.75">
      <c r="V4369" s="147"/>
    </row>
    <row r="4370" ht="12.75">
      <c r="V4370" s="147"/>
    </row>
    <row r="4371" ht="12.75">
      <c r="V4371" s="147"/>
    </row>
    <row r="4372" ht="12.75">
      <c r="V4372" s="147"/>
    </row>
    <row r="4373" ht="12.75">
      <c r="V4373" s="147"/>
    </row>
    <row r="4374" ht="12.75">
      <c r="V4374" s="147"/>
    </row>
    <row r="4375" ht="12.75">
      <c r="V4375" s="147"/>
    </row>
    <row r="4376" ht="12.75">
      <c r="V4376" s="147"/>
    </row>
    <row r="4377" ht="12.75">
      <c r="V4377" s="147"/>
    </row>
    <row r="4378" ht="12.75">
      <c r="V4378" s="147"/>
    </row>
    <row r="4379" ht="12.75">
      <c r="V4379" s="147"/>
    </row>
    <row r="4380" ht="12.75">
      <c r="V4380" s="147"/>
    </row>
    <row r="4381" ht="12.75">
      <c r="V4381" s="147"/>
    </row>
    <row r="4382" ht="12.75">
      <c r="V4382" s="147"/>
    </row>
    <row r="4383" ht="12.75">
      <c r="V4383" s="147"/>
    </row>
    <row r="4384" ht="12.75">
      <c r="V4384" s="147"/>
    </row>
    <row r="4385" ht="12.75">
      <c r="V4385" s="147"/>
    </row>
    <row r="4386" ht="12.75">
      <c r="V4386" s="147"/>
    </row>
    <row r="4387" ht="12.75">
      <c r="V4387" s="147"/>
    </row>
    <row r="4388" ht="12.75">
      <c r="V4388" s="147"/>
    </row>
    <row r="4389" ht="12.75">
      <c r="V4389" s="147"/>
    </row>
    <row r="4390" ht="12.75">
      <c r="V4390" s="147"/>
    </row>
    <row r="4391" ht="12.75">
      <c r="V4391" s="147"/>
    </row>
    <row r="4392" ht="12.75">
      <c r="V4392" s="147"/>
    </row>
    <row r="4393" ht="12.75">
      <c r="V4393" s="147"/>
    </row>
    <row r="4394" ht="12.75">
      <c r="V4394" s="147"/>
    </row>
    <row r="4395" ht="12.75">
      <c r="V4395" s="147"/>
    </row>
    <row r="4396" ht="12.75">
      <c r="V4396" s="147"/>
    </row>
    <row r="4397" ht="12.75">
      <c r="V4397" s="147"/>
    </row>
    <row r="4398" ht="12.75">
      <c r="V4398" s="147"/>
    </row>
    <row r="4399" ht="12.75">
      <c r="V4399" s="147"/>
    </row>
    <row r="4400" ht="12.75">
      <c r="V4400" s="147"/>
    </row>
    <row r="4401" ht="12.75">
      <c r="V4401" s="147"/>
    </row>
    <row r="4402" ht="12.75">
      <c r="V4402" s="147"/>
    </row>
    <row r="4403" ht="12.75">
      <c r="V4403" s="147"/>
    </row>
    <row r="4404" ht="12.75">
      <c r="V4404" s="147"/>
    </row>
    <row r="4405" ht="12.75">
      <c r="V4405" s="147"/>
    </row>
    <row r="4406" ht="12.75">
      <c r="V4406" s="147"/>
    </row>
    <row r="4407" ht="12.75">
      <c r="V4407" s="147"/>
    </row>
    <row r="4408" ht="12.75">
      <c r="V4408" s="147"/>
    </row>
    <row r="4409" ht="12.75">
      <c r="V4409" s="147"/>
    </row>
    <row r="4410" ht="12.75">
      <c r="V4410" s="147"/>
    </row>
    <row r="4411" ht="12.75">
      <c r="V4411" s="147"/>
    </row>
    <row r="4412" ht="12.75">
      <c r="V4412" s="147"/>
    </row>
    <row r="4413" ht="12.75">
      <c r="V4413" s="147"/>
    </row>
    <row r="4414" ht="12.75">
      <c r="V4414" s="147"/>
    </row>
    <row r="4415" ht="12.75">
      <c r="V4415" s="147"/>
    </row>
    <row r="4416" ht="12.75">
      <c r="V4416" s="147"/>
    </row>
    <row r="4417" ht="12.75">
      <c r="V4417" s="147"/>
    </row>
    <row r="4418" ht="12.75">
      <c r="V4418" s="147"/>
    </row>
    <row r="4419" ht="12.75">
      <c r="V4419" s="147"/>
    </row>
    <row r="4420" ht="12.75">
      <c r="V4420" s="147"/>
    </row>
    <row r="4421" ht="12.75">
      <c r="V4421" s="147"/>
    </row>
    <row r="4422" ht="12.75">
      <c r="V4422" s="147"/>
    </row>
    <row r="4423" ht="12.75">
      <c r="V4423" s="147"/>
    </row>
    <row r="4424" ht="12.75">
      <c r="V4424" s="147"/>
    </row>
    <row r="4425" ht="12.75">
      <c r="V4425" s="147"/>
    </row>
    <row r="4426" ht="12.75">
      <c r="V4426" s="147"/>
    </row>
    <row r="4427" ht="12.75">
      <c r="V4427" s="147"/>
    </row>
    <row r="4428" ht="12.75">
      <c r="V4428" s="147"/>
    </row>
    <row r="4429" ht="12.75">
      <c r="V4429" s="147"/>
    </row>
    <row r="4430" ht="12.75">
      <c r="V4430" s="147"/>
    </row>
    <row r="4431" ht="12.75">
      <c r="V4431" s="147"/>
    </row>
    <row r="4432" ht="12.75">
      <c r="V4432" s="147"/>
    </row>
    <row r="4433" ht="12.75">
      <c r="V4433" s="147"/>
    </row>
    <row r="4434" ht="12.75">
      <c r="V4434" s="147"/>
    </row>
    <row r="4435" ht="12.75">
      <c r="V4435" s="147"/>
    </row>
    <row r="4436" ht="12.75">
      <c r="V4436" s="147"/>
    </row>
    <row r="4437" ht="12.75">
      <c r="V4437" s="147"/>
    </row>
    <row r="4438" ht="12.75">
      <c r="V4438" s="147"/>
    </row>
    <row r="4439" ht="12.75">
      <c r="V4439" s="147"/>
    </row>
    <row r="4440" ht="12.75">
      <c r="V4440" s="147"/>
    </row>
    <row r="4441" ht="12.75">
      <c r="V4441" s="147"/>
    </row>
    <row r="4442" ht="12.75">
      <c r="V4442" s="147"/>
    </row>
    <row r="4443" ht="12.75">
      <c r="V4443" s="147"/>
    </row>
    <row r="4444" ht="12.75">
      <c r="V4444" s="147"/>
    </row>
    <row r="4445" ht="12.75">
      <c r="V4445" s="147"/>
    </row>
    <row r="4446" ht="12.75">
      <c r="V4446" s="147"/>
    </row>
    <row r="4447" ht="12.75">
      <c r="V4447" s="147"/>
    </row>
    <row r="4448" ht="12.75">
      <c r="V4448" s="147"/>
    </row>
    <row r="4449" ht="12.75">
      <c r="V4449" s="147"/>
    </row>
    <row r="4450" ht="12.75">
      <c r="V4450" s="147"/>
    </row>
    <row r="4451" ht="12.75">
      <c r="V4451" s="147"/>
    </row>
    <row r="4452" ht="12.75">
      <c r="V4452" s="147"/>
    </row>
    <row r="4453" ht="12.75">
      <c r="V4453" s="147"/>
    </row>
    <row r="4454" ht="12.75">
      <c r="V4454" s="147"/>
    </row>
    <row r="4455" ht="12.75">
      <c r="V4455" s="147"/>
    </row>
    <row r="4456" ht="12.75">
      <c r="V4456" s="147"/>
    </row>
    <row r="4457" ht="12.75">
      <c r="V4457" s="147"/>
    </row>
    <row r="4458" ht="12.75">
      <c r="V4458" s="147"/>
    </row>
    <row r="4459" ht="12.75">
      <c r="V4459" s="147"/>
    </row>
    <row r="4460" ht="12.75">
      <c r="V4460" s="147"/>
    </row>
    <row r="4461" ht="12.75">
      <c r="V4461" s="147"/>
    </row>
    <row r="4462" ht="12.75">
      <c r="V4462" s="147"/>
    </row>
    <row r="4463" ht="12.75">
      <c r="V4463" s="147"/>
    </row>
    <row r="4464" ht="12.75">
      <c r="V4464" s="147"/>
    </row>
    <row r="4465" ht="12.75">
      <c r="V4465" s="147"/>
    </row>
    <row r="4466" ht="12.75">
      <c r="V4466" s="147"/>
    </row>
    <row r="4467" ht="12.75">
      <c r="V4467" s="147"/>
    </row>
    <row r="4468" ht="12.75">
      <c r="V4468" s="147"/>
    </row>
    <row r="4469" ht="12.75">
      <c r="V4469" s="147"/>
    </row>
    <row r="4470" ht="12.75">
      <c r="V4470" s="147"/>
    </row>
    <row r="4471" ht="12.75">
      <c r="V4471" s="147"/>
    </row>
    <row r="4472" ht="12.75">
      <c r="V4472" s="147"/>
    </row>
    <row r="4473" ht="12.75">
      <c r="V4473" s="147"/>
    </row>
    <row r="4474" ht="12.75">
      <c r="V4474" s="147"/>
    </row>
    <row r="4475" ht="12.75">
      <c r="V4475" s="147"/>
    </row>
    <row r="4476" ht="12.75">
      <c r="V4476" s="147"/>
    </row>
    <row r="4477" ht="12.75">
      <c r="V4477" s="147"/>
    </row>
    <row r="4478" ht="12.75">
      <c r="V4478" s="147"/>
    </row>
    <row r="4479" ht="12.75">
      <c r="V4479" s="147"/>
    </row>
    <row r="4480" ht="12.75">
      <c r="V4480" s="147"/>
    </row>
    <row r="4481" ht="12.75">
      <c r="V4481" s="147"/>
    </row>
    <row r="4482" ht="12.75">
      <c r="V4482" s="147"/>
    </row>
    <row r="4483" ht="12.75">
      <c r="V4483" s="147"/>
    </row>
    <row r="4484" ht="12.75">
      <c r="V4484" s="147"/>
    </row>
    <row r="4485" ht="12.75">
      <c r="V4485" s="147"/>
    </row>
    <row r="4486" ht="12.75">
      <c r="V4486" s="147"/>
    </row>
    <row r="4487" ht="12.75">
      <c r="V4487" s="147"/>
    </row>
    <row r="4488" ht="12.75">
      <c r="V4488" s="147"/>
    </row>
    <row r="4489" ht="12.75">
      <c r="V4489" s="147"/>
    </row>
    <row r="4490" ht="12.75">
      <c r="V4490" s="147"/>
    </row>
    <row r="4491" ht="12.75">
      <c r="V4491" s="147"/>
    </row>
    <row r="4492" ht="12.75">
      <c r="V4492" s="147"/>
    </row>
    <row r="4493" ht="12.75">
      <c r="V4493" s="147"/>
    </row>
    <row r="4494" ht="12.75">
      <c r="V4494" s="147"/>
    </row>
    <row r="4495" ht="12.75">
      <c r="V4495" s="147"/>
    </row>
    <row r="4496" ht="12.75">
      <c r="V4496" s="147"/>
    </row>
    <row r="4497" ht="12.75">
      <c r="V4497" s="147"/>
    </row>
    <row r="4498" ht="12.75">
      <c r="V4498" s="147"/>
    </row>
    <row r="4499" ht="12.75">
      <c r="V4499" s="147"/>
    </row>
    <row r="4500" ht="12.75">
      <c r="V4500" s="147"/>
    </row>
    <row r="4501" ht="12.75">
      <c r="V4501" s="147"/>
    </row>
    <row r="4502" ht="12.75">
      <c r="V4502" s="147"/>
    </row>
    <row r="4503" ht="12.75">
      <c r="V4503" s="147"/>
    </row>
    <row r="4504" ht="12.75">
      <c r="V4504" s="147"/>
    </row>
    <row r="4505" ht="12.75">
      <c r="V4505" s="147"/>
    </row>
    <row r="4506" ht="12.75">
      <c r="V4506" s="147"/>
    </row>
    <row r="4507" ht="12.75">
      <c r="V4507" s="147"/>
    </row>
    <row r="4508" ht="12.75">
      <c r="V4508" s="147"/>
    </row>
    <row r="4509" ht="12.75">
      <c r="V4509" s="147"/>
    </row>
    <row r="4510" ht="12.75">
      <c r="V4510" s="147"/>
    </row>
    <row r="4511" ht="12.75">
      <c r="V4511" s="147"/>
    </row>
    <row r="4512" ht="12.75">
      <c r="V4512" s="147"/>
    </row>
    <row r="4513" ht="12.75">
      <c r="V4513" s="147"/>
    </row>
    <row r="4514" ht="12.75">
      <c r="V4514" s="147"/>
    </row>
    <row r="4515" ht="12.75">
      <c r="V4515" s="147"/>
    </row>
    <row r="4516" ht="12.75">
      <c r="V4516" s="147"/>
    </row>
    <row r="4517" ht="12.75">
      <c r="V4517" s="147"/>
    </row>
    <row r="4518" ht="12.75">
      <c r="V4518" s="147"/>
    </row>
    <row r="4519" ht="12.75">
      <c r="V4519" s="147"/>
    </row>
    <row r="4520" ht="12.75">
      <c r="V4520" s="147"/>
    </row>
    <row r="4521" ht="12.75">
      <c r="V4521" s="147"/>
    </row>
    <row r="4522" ht="12.75">
      <c r="V4522" s="147"/>
    </row>
    <row r="4523" ht="12.75">
      <c r="V4523" s="147"/>
    </row>
    <row r="4524" ht="12.75">
      <c r="V4524" s="147"/>
    </row>
    <row r="4525" ht="12.75">
      <c r="V4525" s="147"/>
    </row>
    <row r="4526" ht="12.75">
      <c r="V4526" s="147"/>
    </row>
    <row r="4527" ht="12.75">
      <c r="V4527" s="147"/>
    </row>
    <row r="4528" ht="12.75">
      <c r="V4528" s="147"/>
    </row>
    <row r="4529" ht="12.75">
      <c r="V4529" s="147"/>
    </row>
    <row r="4530" ht="12.75">
      <c r="V4530" s="147"/>
    </row>
    <row r="4531" ht="12.75">
      <c r="V4531" s="147"/>
    </row>
    <row r="4532" ht="12.75">
      <c r="V4532" s="147"/>
    </row>
    <row r="4533" ht="12.75">
      <c r="V4533" s="147"/>
    </row>
    <row r="4534" ht="12.75">
      <c r="V4534" s="147"/>
    </row>
    <row r="4535" ht="12.75">
      <c r="V4535" s="147"/>
    </row>
    <row r="4536" ht="12.75">
      <c r="V4536" s="147"/>
    </row>
    <row r="4537" ht="12.75">
      <c r="V4537" s="147"/>
    </row>
    <row r="4538" ht="12.75">
      <c r="V4538" s="147"/>
    </row>
    <row r="4539" ht="12.75">
      <c r="V4539" s="147"/>
    </row>
    <row r="4540" ht="12.75">
      <c r="V4540" s="147"/>
    </row>
    <row r="4541" ht="12.75">
      <c r="V4541" s="147"/>
    </row>
    <row r="4542" ht="12.75">
      <c r="V4542" s="147"/>
    </row>
    <row r="4543" ht="12.75">
      <c r="V4543" s="147"/>
    </row>
    <row r="4544" ht="12.75">
      <c r="V4544" s="147"/>
    </row>
    <row r="4545" ht="12.75">
      <c r="V4545" s="147"/>
    </row>
    <row r="4546" ht="12.75">
      <c r="V4546" s="147"/>
    </row>
    <row r="4547" ht="12.75">
      <c r="V4547" s="147"/>
    </row>
    <row r="4548" ht="12.75">
      <c r="V4548" s="147"/>
    </row>
    <row r="4549" ht="12.75">
      <c r="V4549" s="147"/>
    </row>
    <row r="4550" ht="12.75">
      <c r="V4550" s="147"/>
    </row>
    <row r="4551" ht="12.75">
      <c r="V4551" s="147"/>
    </row>
    <row r="4552" ht="12.75">
      <c r="V4552" s="147"/>
    </row>
    <row r="4553" ht="12.75">
      <c r="V4553" s="147"/>
    </row>
    <row r="4554" ht="12.75">
      <c r="V4554" s="147"/>
    </row>
    <row r="4555" ht="12.75">
      <c r="V4555" s="147"/>
    </row>
    <row r="4556" ht="12.75">
      <c r="V4556" s="147"/>
    </row>
    <row r="4557" ht="12.75">
      <c r="V4557" s="147"/>
    </row>
    <row r="4558" ht="12.75">
      <c r="V4558" s="147"/>
    </row>
    <row r="4559" ht="12.75">
      <c r="V4559" s="147"/>
    </row>
    <row r="4560" ht="12.75">
      <c r="V4560" s="147"/>
    </row>
    <row r="4561" ht="12.75">
      <c r="V4561" s="147"/>
    </row>
    <row r="4562" ht="12.75">
      <c r="V4562" s="147"/>
    </row>
    <row r="4563" ht="12.75">
      <c r="V4563" s="147"/>
    </row>
    <row r="4564" ht="12.75">
      <c r="V4564" s="147"/>
    </row>
    <row r="4565" ht="12.75">
      <c r="V4565" s="147"/>
    </row>
    <row r="4566" ht="12.75">
      <c r="V4566" s="147"/>
    </row>
    <row r="4567" ht="12.75">
      <c r="V4567" s="147"/>
    </row>
    <row r="4568" ht="12.75">
      <c r="V4568" s="147"/>
    </row>
    <row r="4569" ht="12.75">
      <c r="V4569" s="147"/>
    </row>
    <row r="4570" ht="12.75">
      <c r="V4570" s="147"/>
    </row>
    <row r="4571" ht="12.75">
      <c r="V4571" s="147"/>
    </row>
    <row r="4572" ht="12.75">
      <c r="V4572" s="147"/>
    </row>
    <row r="4573" ht="12.75">
      <c r="V4573" s="147"/>
    </row>
    <row r="4574" ht="12.75">
      <c r="V4574" s="147"/>
    </row>
    <row r="4575" ht="12.75">
      <c r="V4575" s="147"/>
    </row>
    <row r="4576" ht="12.75">
      <c r="V4576" s="147"/>
    </row>
    <row r="4577" ht="12.75">
      <c r="V4577" s="147"/>
    </row>
    <row r="4578" ht="12.75">
      <c r="V4578" s="147"/>
    </row>
    <row r="4579" ht="12.75">
      <c r="V4579" s="147"/>
    </row>
    <row r="4580" ht="12.75">
      <c r="V4580" s="147"/>
    </row>
    <row r="4581" ht="12.75">
      <c r="V4581" s="147"/>
    </row>
    <row r="4582" ht="12.75">
      <c r="V4582" s="147"/>
    </row>
    <row r="4583" ht="12.75">
      <c r="V4583" s="147"/>
    </row>
    <row r="4584" ht="12.75">
      <c r="V4584" s="147"/>
    </row>
    <row r="4585" ht="12.75">
      <c r="V4585" s="147"/>
    </row>
    <row r="4586" ht="12.75">
      <c r="V4586" s="147"/>
    </row>
    <row r="4587" ht="12.75">
      <c r="V4587" s="147"/>
    </row>
    <row r="4588" ht="12.75">
      <c r="V4588" s="147"/>
    </row>
    <row r="4589" ht="12.75">
      <c r="V4589" s="147"/>
    </row>
    <row r="4590" ht="12.75">
      <c r="V4590" s="147"/>
    </row>
    <row r="4591" ht="12.75">
      <c r="V4591" s="147"/>
    </row>
    <row r="4592" ht="12.75">
      <c r="V4592" s="147"/>
    </row>
    <row r="4593" ht="12.75">
      <c r="V4593" s="147"/>
    </row>
    <row r="4594" ht="12.75">
      <c r="V4594" s="147"/>
    </row>
    <row r="4595" ht="12.75">
      <c r="V4595" s="147"/>
    </row>
    <row r="4596" ht="12.75">
      <c r="V4596" s="147"/>
    </row>
    <row r="4597" ht="12.75">
      <c r="V4597" s="147"/>
    </row>
    <row r="4598" ht="12.75">
      <c r="V4598" s="147"/>
    </row>
    <row r="4599" ht="12.75">
      <c r="V4599" s="147"/>
    </row>
    <row r="4600" ht="12.75">
      <c r="V4600" s="147"/>
    </row>
    <row r="4601" ht="12.75">
      <c r="V4601" s="147"/>
    </row>
    <row r="4602" ht="12.75">
      <c r="V4602" s="147"/>
    </row>
    <row r="4603" ht="12.75">
      <c r="V4603" s="147"/>
    </row>
    <row r="4604" ht="12.75">
      <c r="V4604" s="147"/>
    </row>
    <row r="4605" ht="12.75">
      <c r="V4605" s="147"/>
    </row>
    <row r="4606" ht="12.75">
      <c r="V4606" s="147"/>
    </row>
    <row r="4607" ht="12.75">
      <c r="V4607" s="147"/>
    </row>
    <row r="4608" ht="12.75">
      <c r="V4608" s="147"/>
    </row>
    <row r="4609" ht="12.75">
      <c r="V4609" s="147"/>
    </row>
    <row r="4610" ht="12.75">
      <c r="V4610" s="147"/>
    </row>
    <row r="4611" ht="12.75">
      <c r="V4611" s="147"/>
    </row>
    <row r="4612" ht="12.75">
      <c r="V4612" s="147"/>
    </row>
    <row r="4613" ht="12.75">
      <c r="V4613" s="147"/>
    </row>
    <row r="4614" ht="12.75">
      <c r="V4614" s="147"/>
    </row>
    <row r="4615" ht="12.75">
      <c r="V4615" s="147"/>
    </row>
    <row r="4616" ht="12.75">
      <c r="V4616" s="147"/>
    </row>
    <row r="4617" ht="12.75">
      <c r="V4617" s="147"/>
    </row>
    <row r="4618" ht="12.75">
      <c r="V4618" s="147"/>
    </row>
    <row r="4619" ht="12.75">
      <c r="V4619" s="147"/>
    </row>
    <row r="4620" ht="12.75">
      <c r="V4620" s="147"/>
    </row>
    <row r="4621" ht="12.75">
      <c r="V4621" s="147"/>
    </row>
    <row r="4622" ht="12.75">
      <c r="V4622" s="147"/>
    </row>
    <row r="4623" ht="12.75">
      <c r="V4623" s="147"/>
    </row>
    <row r="4624" ht="12.75">
      <c r="V4624" s="147"/>
    </row>
    <row r="4625" ht="12.75">
      <c r="V4625" s="147"/>
    </row>
    <row r="4626" ht="12.75">
      <c r="V4626" s="147"/>
    </row>
    <row r="4627" ht="12.75">
      <c r="V4627" s="147"/>
    </row>
    <row r="4628" ht="12.75">
      <c r="V4628" s="147"/>
    </row>
    <row r="4629" ht="12.75">
      <c r="V4629" s="147"/>
    </row>
    <row r="4630" ht="12.75">
      <c r="V4630" s="147"/>
    </row>
    <row r="4631" ht="12.75">
      <c r="V4631" s="147"/>
    </row>
    <row r="4632" ht="12.75">
      <c r="V4632" s="147"/>
    </row>
    <row r="4633" ht="12.75">
      <c r="V4633" s="147"/>
    </row>
    <row r="4634" ht="12.75">
      <c r="V4634" s="147"/>
    </row>
    <row r="4635" ht="12.75">
      <c r="V4635" s="147"/>
    </row>
    <row r="4636" ht="12.75">
      <c r="V4636" s="147"/>
    </row>
    <row r="4637" ht="12.75">
      <c r="V4637" s="147"/>
    </row>
    <row r="4638" ht="12.75">
      <c r="V4638" s="147"/>
    </row>
    <row r="4639" ht="12.75">
      <c r="V4639" s="147"/>
    </row>
    <row r="4640" ht="12.75">
      <c r="V4640" s="147"/>
    </row>
    <row r="4641" ht="12.75">
      <c r="V4641" s="147"/>
    </row>
    <row r="4642" ht="12.75">
      <c r="V4642" s="147"/>
    </row>
    <row r="4643" ht="12.75">
      <c r="V4643" s="147"/>
    </row>
    <row r="4644" ht="12.75">
      <c r="V4644" s="147"/>
    </row>
    <row r="4645" ht="12.75">
      <c r="V4645" s="147"/>
    </row>
    <row r="4646" ht="12.75">
      <c r="V4646" s="147"/>
    </row>
    <row r="4647" ht="12.75">
      <c r="V4647" s="147"/>
    </row>
    <row r="4648" ht="12.75">
      <c r="V4648" s="147"/>
    </row>
    <row r="4649" ht="12.75">
      <c r="V4649" s="147"/>
    </row>
    <row r="4650" ht="12.75">
      <c r="V4650" s="147"/>
    </row>
    <row r="4651" ht="12.75">
      <c r="V4651" s="147"/>
    </row>
    <row r="4652" ht="12.75">
      <c r="V4652" s="147"/>
    </row>
    <row r="4653" ht="12.75">
      <c r="V4653" s="147"/>
    </row>
    <row r="4654" ht="12.75">
      <c r="V4654" s="147"/>
    </row>
    <row r="4655" ht="12.75">
      <c r="V4655" s="147"/>
    </row>
    <row r="4656" ht="12.75">
      <c r="V4656" s="147"/>
    </row>
    <row r="4657" ht="12.75">
      <c r="V4657" s="147"/>
    </row>
    <row r="4658" ht="12.75">
      <c r="V4658" s="147"/>
    </row>
    <row r="4659" ht="12.75">
      <c r="V4659" s="147"/>
    </row>
    <row r="4660" ht="12.75">
      <c r="V4660" s="147"/>
    </row>
    <row r="4661" ht="12.75">
      <c r="V4661" s="147"/>
    </row>
    <row r="4662" ht="12.75">
      <c r="V4662" s="147"/>
    </row>
    <row r="4663" ht="12.75">
      <c r="V4663" s="147"/>
    </row>
    <row r="4664" ht="12.75">
      <c r="V4664" s="147"/>
    </row>
    <row r="4665" ht="12.75">
      <c r="V4665" s="147"/>
    </row>
    <row r="4666" ht="12.75">
      <c r="V4666" s="147"/>
    </row>
    <row r="4667" ht="12.75">
      <c r="V4667" s="147"/>
    </row>
    <row r="4668" ht="12.75">
      <c r="V4668" s="147"/>
    </row>
    <row r="4669" ht="12.75">
      <c r="V4669" s="147"/>
    </row>
    <row r="4670" ht="12.75">
      <c r="V4670" s="147"/>
    </row>
    <row r="4671" ht="12.75">
      <c r="V4671" s="147"/>
    </row>
    <row r="4672" ht="12.75">
      <c r="V4672" s="147"/>
    </row>
    <row r="4673" ht="12.75">
      <c r="V4673" s="147"/>
    </row>
    <row r="4674" ht="12.75">
      <c r="V4674" s="147"/>
    </row>
    <row r="4675" ht="12.75">
      <c r="V4675" s="147"/>
    </row>
    <row r="4676" ht="12.75">
      <c r="V4676" s="147"/>
    </row>
    <row r="4677" ht="12.75">
      <c r="V4677" s="147"/>
    </row>
    <row r="4678" ht="12.75">
      <c r="V4678" s="147"/>
    </row>
    <row r="4679" ht="12.75">
      <c r="V4679" s="147"/>
    </row>
    <row r="4680" ht="12.75">
      <c r="V4680" s="147"/>
    </row>
    <row r="4681" ht="12.75">
      <c r="V4681" s="147"/>
    </row>
    <row r="4682" ht="12.75">
      <c r="V4682" s="147"/>
    </row>
    <row r="4683" ht="12.75">
      <c r="V4683" s="147"/>
    </row>
    <row r="4684" ht="12.75">
      <c r="V4684" s="147"/>
    </row>
    <row r="4685" ht="12.75">
      <c r="V4685" s="147"/>
    </row>
    <row r="4686" ht="12.75">
      <c r="V4686" s="147"/>
    </row>
    <row r="4687" ht="12.75">
      <c r="V4687" s="147"/>
    </row>
    <row r="4688" ht="12.75">
      <c r="V4688" s="147"/>
    </row>
    <row r="4689" ht="12.75">
      <c r="V4689" s="147"/>
    </row>
    <row r="4690" ht="12.75">
      <c r="V4690" s="147"/>
    </row>
    <row r="4691" ht="12.75">
      <c r="V4691" s="147"/>
    </row>
    <row r="4692" ht="12.75">
      <c r="V4692" s="147"/>
    </row>
    <row r="4693" ht="12.75">
      <c r="V4693" s="147"/>
    </row>
    <row r="4694" ht="12.75">
      <c r="V4694" s="147"/>
    </row>
    <row r="4695" ht="12.75">
      <c r="V4695" s="147"/>
    </row>
    <row r="4696" ht="12.75">
      <c r="V4696" s="147"/>
    </row>
    <row r="4697" ht="12.75">
      <c r="V4697" s="147"/>
    </row>
    <row r="4698" ht="12.75">
      <c r="V4698" s="147"/>
    </row>
    <row r="4699" ht="12.75">
      <c r="V4699" s="147"/>
    </row>
    <row r="4700" ht="12.75">
      <c r="V4700" s="147"/>
    </row>
    <row r="4701" ht="12.75">
      <c r="V4701" s="147"/>
    </row>
    <row r="4702" ht="12.75">
      <c r="V4702" s="147"/>
    </row>
    <row r="4703" ht="12.75">
      <c r="V4703" s="147"/>
    </row>
    <row r="4704" ht="12.75">
      <c r="V4704" s="147"/>
    </row>
    <row r="4705" ht="12.75">
      <c r="V4705" s="147"/>
    </row>
    <row r="4706" ht="12.75">
      <c r="V4706" s="147"/>
    </row>
    <row r="4707" ht="12.75">
      <c r="V4707" s="147"/>
    </row>
    <row r="4708" ht="12.75">
      <c r="V4708" s="147"/>
    </row>
    <row r="4709" ht="12.75">
      <c r="V4709" s="147"/>
    </row>
    <row r="4710" ht="12.75">
      <c r="V4710" s="147"/>
    </row>
    <row r="4711" ht="12.75">
      <c r="V4711" s="147"/>
    </row>
    <row r="4712" ht="12.75">
      <c r="V4712" s="147"/>
    </row>
    <row r="4713" ht="12.75">
      <c r="V4713" s="147"/>
    </row>
    <row r="4714" ht="12.75">
      <c r="V4714" s="147"/>
    </row>
    <row r="4715" ht="12.75">
      <c r="V4715" s="147"/>
    </row>
    <row r="4716" ht="12.75">
      <c r="V4716" s="147"/>
    </row>
    <row r="4717" ht="12.75">
      <c r="V4717" s="147"/>
    </row>
    <row r="4718" ht="12.75">
      <c r="V4718" s="147"/>
    </row>
    <row r="4719" ht="12.75">
      <c r="V4719" s="147"/>
    </row>
    <row r="4720" ht="12.75">
      <c r="V4720" s="147"/>
    </row>
    <row r="4721" ht="12.75">
      <c r="V4721" s="147"/>
    </row>
    <row r="4722" ht="12.75">
      <c r="V4722" s="147"/>
    </row>
    <row r="4723" ht="12.75">
      <c r="V4723" s="147"/>
    </row>
    <row r="4724" ht="12.75">
      <c r="V4724" s="147"/>
    </row>
    <row r="4725" ht="12.75">
      <c r="V4725" s="147"/>
    </row>
    <row r="4726" ht="12.75">
      <c r="V4726" s="147"/>
    </row>
    <row r="4727" ht="12.75">
      <c r="V4727" s="147"/>
    </row>
    <row r="4728" ht="12.75">
      <c r="V4728" s="147"/>
    </row>
    <row r="4729" ht="12.75">
      <c r="V4729" s="147"/>
    </row>
    <row r="4730" ht="12.75">
      <c r="V4730" s="147"/>
    </row>
    <row r="4731" ht="12.75">
      <c r="V4731" s="147"/>
    </row>
    <row r="4732" ht="12.75">
      <c r="V4732" s="147"/>
    </row>
    <row r="4733" ht="12.75">
      <c r="V4733" s="147"/>
    </row>
    <row r="4734" ht="12.75">
      <c r="V4734" s="147"/>
    </row>
    <row r="4735" ht="12.75">
      <c r="V4735" s="147"/>
    </row>
    <row r="4736" ht="12.75">
      <c r="V4736" s="147"/>
    </row>
    <row r="4737" ht="12.75">
      <c r="V4737" s="147"/>
    </row>
    <row r="4738" ht="12.75">
      <c r="V4738" s="147"/>
    </row>
    <row r="4739" ht="12.75">
      <c r="V4739" s="147"/>
    </row>
    <row r="4740" ht="12.75">
      <c r="V4740" s="147"/>
    </row>
    <row r="4741" ht="12.75">
      <c r="V4741" s="147"/>
    </row>
    <row r="4742" ht="12.75">
      <c r="V4742" s="147"/>
    </row>
    <row r="4743" ht="12.75">
      <c r="V4743" s="147"/>
    </row>
    <row r="4744" ht="12.75">
      <c r="V4744" s="147"/>
    </row>
    <row r="4745" ht="12.75">
      <c r="V4745" s="147"/>
    </row>
    <row r="4746" ht="12.75">
      <c r="V4746" s="147"/>
    </row>
    <row r="4747" ht="12.75">
      <c r="V4747" s="147"/>
    </row>
    <row r="4748" ht="12.75">
      <c r="V4748" s="147"/>
    </row>
    <row r="4749" ht="12.75">
      <c r="V4749" s="147"/>
    </row>
    <row r="4750" ht="12.75">
      <c r="V4750" s="147"/>
    </row>
    <row r="4751" ht="12.75">
      <c r="V4751" s="147"/>
    </row>
    <row r="4752" ht="12.75">
      <c r="V4752" s="147"/>
    </row>
    <row r="4753" ht="12.75">
      <c r="V4753" s="147"/>
    </row>
    <row r="4754" ht="12.75">
      <c r="V4754" s="147"/>
    </row>
    <row r="4755" ht="12.75">
      <c r="V4755" s="147"/>
    </row>
    <row r="4756" ht="12.75">
      <c r="V4756" s="147"/>
    </row>
    <row r="4757" ht="12.75">
      <c r="V4757" s="147"/>
    </row>
    <row r="4758" ht="12.75">
      <c r="V4758" s="147"/>
    </row>
    <row r="4759" ht="12.75">
      <c r="V4759" s="147"/>
    </row>
    <row r="4760" ht="12.75">
      <c r="V4760" s="147"/>
    </row>
    <row r="4761" ht="12.75">
      <c r="V4761" s="147"/>
    </row>
    <row r="4762" ht="12.75">
      <c r="V4762" s="147"/>
    </row>
    <row r="4763" ht="12.75">
      <c r="V4763" s="147"/>
    </row>
    <row r="4764" ht="12.75">
      <c r="V4764" s="147"/>
    </row>
    <row r="4765" ht="12.75">
      <c r="V4765" s="147"/>
    </row>
    <row r="4766" ht="12.75">
      <c r="V4766" s="147"/>
    </row>
    <row r="4767" ht="12.75">
      <c r="V4767" s="147"/>
    </row>
    <row r="4768" ht="12.75">
      <c r="V4768" s="147"/>
    </row>
    <row r="4769" ht="12.75">
      <c r="V4769" s="147"/>
    </row>
    <row r="4770" ht="12.75">
      <c r="V4770" s="147"/>
    </row>
    <row r="4771" ht="12.75">
      <c r="V4771" s="147"/>
    </row>
    <row r="4772" ht="12.75">
      <c r="V4772" s="147"/>
    </row>
    <row r="4773" ht="12.75">
      <c r="V4773" s="147"/>
    </row>
    <row r="4774" ht="12.75">
      <c r="V4774" s="147"/>
    </row>
    <row r="4775" ht="12.75">
      <c r="V4775" s="147"/>
    </row>
    <row r="4776" ht="12.75">
      <c r="V4776" s="147"/>
    </row>
    <row r="4777" ht="12.75">
      <c r="V4777" s="147"/>
    </row>
    <row r="4778" ht="12.75">
      <c r="V4778" s="147"/>
    </row>
    <row r="4779" ht="12.75">
      <c r="V4779" s="147"/>
    </row>
    <row r="4780" ht="12.75">
      <c r="V4780" s="147"/>
    </row>
    <row r="4781" ht="12.75">
      <c r="V4781" s="147"/>
    </row>
    <row r="4782" ht="12.75">
      <c r="V4782" s="147"/>
    </row>
    <row r="4783" ht="12.75">
      <c r="V4783" s="147"/>
    </row>
    <row r="4784" ht="12.75">
      <c r="V4784" s="147"/>
    </row>
    <row r="4785" ht="12.75">
      <c r="V4785" s="147"/>
    </row>
    <row r="4786" ht="12.75">
      <c r="V4786" s="147"/>
    </row>
    <row r="4787" ht="12.75">
      <c r="V4787" s="147"/>
    </row>
    <row r="4788" ht="12.75">
      <c r="V4788" s="147"/>
    </row>
    <row r="4789" ht="12.75">
      <c r="V4789" s="147"/>
    </row>
    <row r="4790" ht="12.75">
      <c r="V4790" s="147"/>
    </row>
    <row r="4791" ht="12.75">
      <c r="V4791" s="147"/>
    </row>
    <row r="4792" ht="12.75">
      <c r="V4792" s="147"/>
    </row>
    <row r="4793" ht="12.75">
      <c r="V4793" s="147"/>
    </row>
    <row r="4794" ht="12.75">
      <c r="V4794" s="147"/>
    </row>
    <row r="4795" ht="12.75">
      <c r="V4795" s="147"/>
    </row>
    <row r="4796" ht="12.75">
      <c r="V4796" s="147"/>
    </row>
    <row r="4797" ht="12.75">
      <c r="V4797" s="147"/>
    </row>
    <row r="4798" ht="12.75">
      <c r="V4798" s="147"/>
    </row>
    <row r="4799" ht="12.75">
      <c r="V4799" s="147"/>
    </row>
    <row r="4800" ht="12.75">
      <c r="V4800" s="147"/>
    </row>
    <row r="4801" ht="12.75">
      <c r="V4801" s="147"/>
    </row>
    <row r="4802" ht="12.75">
      <c r="V4802" s="147"/>
    </row>
    <row r="4803" ht="12.75">
      <c r="V4803" s="147"/>
    </row>
    <row r="4804" ht="12.75">
      <c r="V4804" s="147"/>
    </row>
    <row r="4805" ht="12.75">
      <c r="V4805" s="147"/>
    </row>
    <row r="4806" ht="12.75">
      <c r="V4806" s="147"/>
    </row>
    <row r="4807" ht="12.75">
      <c r="V4807" s="147"/>
    </row>
    <row r="4808" ht="12.75">
      <c r="V4808" s="147"/>
    </row>
    <row r="4809" ht="12.75">
      <c r="V4809" s="147"/>
    </row>
    <row r="4810" ht="12.75">
      <c r="V4810" s="147"/>
    </row>
    <row r="4811" ht="12.75">
      <c r="V4811" s="147"/>
    </row>
    <row r="4812" ht="12.75">
      <c r="V4812" s="147"/>
    </row>
    <row r="4813" ht="12.75">
      <c r="V4813" s="147"/>
    </row>
    <row r="4814" ht="12.75">
      <c r="V4814" s="147"/>
    </row>
    <row r="4815" ht="12.75">
      <c r="V4815" s="147"/>
    </row>
    <row r="4816" ht="12.75">
      <c r="V4816" s="147"/>
    </row>
    <row r="4817" ht="12.75">
      <c r="V4817" s="147"/>
    </row>
    <row r="4818" ht="12.75">
      <c r="V4818" s="147"/>
    </row>
    <row r="4819" ht="12.75">
      <c r="V4819" s="147"/>
    </row>
    <row r="4820" ht="12.75">
      <c r="V4820" s="147"/>
    </row>
    <row r="4821" ht="12.75">
      <c r="V4821" s="147"/>
    </row>
    <row r="4822" ht="12.75">
      <c r="V4822" s="147"/>
    </row>
    <row r="4823" ht="12.75">
      <c r="V4823" s="147"/>
    </row>
    <row r="4824" ht="12.75">
      <c r="V4824" s="147"/>
    </row>
    <row r="4825" ht="12.75">
      <c r="V4825" s="147"/>
    </row>
    <row r="4826" ht="12.75">
      <c r="V4826" s="147"/>
    </row>
    <row r="4827" ht="12.75">
      <c r="V4827" s="147"/>
    </row>
    <row r="4828" ht="12.75">
      <c r="V4828" s="147"/>
    </row>
    <row r="4829" ht="12.75">
      <c r="V4829" s="147"/>
    </row>
    <row r="4830" ht="12.75">
      <c r="V4830" s="147"/>
    </row>
    <row r="4831" ht="12.75">
      <c r="V4831" s="147"/>
    </row>
    <row r="4832" ht="12.75">
      <c r="V4832" s="147"/>
    </row>
    <row r="4833" ht="12.75">
      <c r="V4833" s="147"/>
    </row>
    <row r="4834" ht="12.75">
      <c r="V4834" s="147"/>
    </row>
    <row r="4835" ht="12.75">
      <c r="V4835" s="147"/>
    </row>
    <row r="4836" ht="12.75">
      <c r="V4836" s="147"/>
    </row>
    <row r="4837" ht="12.75">
      <c r="V4837" s="147"/>
    </row>
    <row r="4838" ht="12.75">
      <c r="V4838" s="147"/>
    </row>
    <row r="4839" ht="12.75">
      <c r="V4839" s="147"/>
    </row>
    <row r="4840" ht="12.75">
      <c r="V4840" s="147"/>
    </row>
    <row r="4841" ht="12.75">
      <c r="V4841" s="147"/>
    </row>
    <row r="4842" ht="12.75">
      <c r="V4842" s="147"/>
    </row>
    <row r="4843" ht="12.75">
      <c r="V4843" s="147"/>
    </row>
    <row r="4844" ht="12.75">
      <c r="V4844" s="147"/>
    </row>
    <row r="4845" ht="12.75">
      <c r="V4845" s="147"/>
    </row>
    <row r="4846" ht="12.75">
      <c r="V4846" s="147"/>
    </row>
    <row r="4847" ht="12.75">
      <c r="V4847" s="147"/>
    </row>
    <row r="4848" ht="12.75">
      <c r="V4848" s="147"/>
    </row>
    <row r="4849" ht="12.75">
      <c r="V4849" s="147"/>
    </row>
    <row r="4850" ht="12.75">
      <c r="V4850" s="147"/>
    </row>
    <row r="4851" ht="12.75">
      <c r="V4851" s="147"/>
    </row>
    <row r="4852" ht="12.75">
      <c r="V4852" s="147"/>
    </row>
    <row r="4853" ht="12.75">
      <c r="V4853" s="147"/>
    </row>
    <row r="4854" ht="12.75">
      <c r="V4854" s="147"/>
    </row>
    <row r="4855" ht="12.75">
      <c r="V4855" s="147"/>
    </row>
    <row r="4856" ht="12.75">
      <c r="V4856" s="147"/>
    </row>
    <row r="4857" ht="12.75">
      <c r="V4857" s="147"/>
    </row>
    <row r="4858" ht="12.75">
      <c r="V4858" s="147"/>
    </row>
    <row r="4859" ht="12.75">
      <c r="V4859" s="147"/>
    </row>
    <row r="4860" ht="12.75">
      <c r="V4860" s="147"/>
    </row>
    <row r="4861" ht="12.75">
      <c r="V4861" s="147"/>
    </row>
    <row r="4862" ht="12.75">
      <c r="V4862" s="147"/>
    </row>
    <row r="4863" ht="12.75">
      <c r="V4863" s="147"/>
    </row>
    <row r="4864" ht="12.75">
      <c r="V4864" s="147"/>
    </row>
    <row r="4865" ht="12.75">
      <c r="V4865" s="147"/>
    </row>
    <row r="4866" ht="12.75">
      <c r="V4866" s="147"/>
    </row>
    <row r="4867" ht="12.75">
      <c r="V4867" s="147"/>
    </row>
    <row r="4868" ht="12.75">
      <c r="V4868" s="147"/>
    </row>
    <row r="4869" ht="12.75">
      <c r="V4869" s="147"/>
    </row>
    <row r="4870" ht="12.75">
      <c r="V4870" s="147"/>
    </row>
    <row r="4871" ht="12.75">
      <c r="V4871" s="147"/>
    </row>
    <row r="4872" ht="12.75">
      <c r="V4872" s="147"/>
    </row>
    <row r="4873" ht="12.75">
      <c r="V4873" s="147"/>
    </row>
    <row r="4874" ht="12.75">
      <c r="V4874" s="147"/>
    </row>
    <row r="4875" ht="12.75">
      <c r="V4875" s="147"/>
    </row>
    <row r="4876" ht="12.75">
      <c r="V4876" s="147"/>
    </row>
    <row r="4877" ht="12.75">
      <c r="V4877" s="147"/>
    </row>
    <row r="4878" ht="12.75">
      <c r="V4878" s="147"/>
    </row>
    <row r="4879" ht="12.75">
      <c r="V4879" s="147"/>
    </row>
    <row r="4880" ht="12.75">
      <c r="V4880" s="147"/>
    </row>
    <row r="4881" ht="12.75">
      <c r="V4881" s="147"/>
    </row>
    <row r="4882" ht="12.75">
      <c r="V4882" s="147"/>
    </row>
    <row r="4883" ht="12.75">
      <c r="V4883" s="147"/>
    </row>
    <row r="4884" ht="12.75">
      <c r="V4884" s="147"/>
    </row>
    <row r="4885" ht="12.75">
      <c r="V4885" s="147"/>
    </row>
    <row r="4886" ht="12.75">
      <c r="V4886" s="147"/>
    </row>
    <row r="4887" ht="12.75">
      <c r="V4887" s="147"/>
    </row>
    <row r="4888" ht="12.75">
      <c r="V4888" s="147"/>
    </row>
    <row r="4889" ht="12.75">
      <c r="V4889" s="147"/>
    </row>
    <row r="4890" ht="12.75">
      <c r="V4890" s="147"/>
    </row>
    <row r="4891" ht="12.75">
      <c r="V4891" s="147"/>
    </row>
    <row r="4892" ht="12.75">
      <c r="V4892" s="147"/>
    </row>
    <row r="4893" ht="12.75">
      <c r="V4893" s="147"/>
    </row>
    <row r="4894" ht="12.75">
      <c r="V4894" s="147"/>
    </row>
    <row r="4895" ht="12.75">
      <c r="V4895" s="147"/>
    </row>
    <row r="4896" ht="12.75">
      <c r="V4896" s="147"/>
    </row>
    <row r="4897" ht="12.75">
      <c r="V4897" s="147"/>
    </row>
    <row r="4898" ht="12.75">
      <c r="V4898" s="147"/>
    </row>
    <row r="4899" ht="12.75">
      <c r="V4899" s="147"/>
    </row>
    <row r="4900" ht="12.75">
      <c r="V4900" s="147"/>
    </row>
    <row r="4901" ht="12.75">
      <c r="V4901" s="147"/>
    </row>
    <row r="4902" ht="12.75">
      <c r="V4902" s="147"/>
    </row>
    <row r="4903" ht="12.75">
      <c r="V4903" s="147"/>
    </row>
    <row r="4904" ht="12.75">
      <c r="V4904" s="147"/>
    </row>
    <row r="4905" ht="12.75">
      <c r="V4905" s="147"/>
    </row>
    <row r="4906" ht="12.75">
      <c r="V4906" s="147"/>
    </row>
    <row r="4907" ht="12.75">
      <c r="V4907" s="147"/>
    </row>
    <row r="4908" ht="12.75">
      <c r="V4908" s="147"/>
    </row>
    <row r="4909" ht="12.75">
      <c r="V4909" s="147"/>
    </row>
    <row r="4910" ht="12.75">
      <c r="V4910" s="147"/>
    </row>
    <row r="4911" ht="12.75">
      <c r="V4911" s="147"/>
    </row>
    <row r="4912" ht="12.75">
      <c r="V4912" s="147"/>
    </row>
    <row r="4913" ht="12.75">
      <c r="V4913" s="147"/>
    </row>
    <row r="4914" ht="12.75">
      <c r="V4914" s="147"/>
    </row>
    <row r="4915" ht="12.75">
      <c r="V4915" s="147"/>
    </row>
    <row r="4916" ht="12.75">
      <c r="V4916" s="147"/>
    </row>
    <row r="4917" ht="12.75">
      <c r="V4917" s="147"/>
    </row>
    <row r="4918" ht="12.75">
      <c r="V4918" s="147"/>
    </row>
  </sheetData>
  <sheetProtection/>
  <mergeCells count="22">
    <mergeCell ref="Q5:Q6"/>
    <mergeCell ref="U4:V4"/>
    <mergeCell ref="U5:U6"/>
    <mergeCell ref="V5:V6"/>
    <mergeCell ref="S5:S6"/>
    <mergeCell ref="T5:T6"/>
    <mergeCell ref="A526:G526"/>
    <mergeCell ref="L5:L6"/>
    <mergeCell ref="M5:M6"/>
    <mergeCell ref="J5:J6"/>
    <mergeCell ref="K5:K6"/>
    <mergeCell ref="A525:G525"/>
    <mergeCell ref="S1:V1"/>
    <mergeCell ref="O5:O6"/>
    <mergeCell ref="R5:R6"/>
    <mergeCell ref="I4:I6"/>
    <mergeCell ref="A2:V2"/>
    <mergeCell ref="A4:F5"/>
    <mergeCell ref="G4:G6"/>
    <mergeCell ref="H4:H6"/>
    <mergeCell ref="J4:Q4"/>
    <mergeCell ref="E6:F6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12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samigulina</cp:lastModifiedBy>
  <cp:lastPrinted>2020-05-15T13:01:08Z</cp:lastPrinted>
  <dcterms:created xsi:type="dcterms:W3CDTF">2015-09-23T05:26:21Z</dcterms:created>
  <dcterms:modified xsi:type="dcterms:W3CDTF">2020-05-29T09:19:15Z</dcterms:modified>
  <cp:category/>
  <cp:version/>
  <cp:contentType/>
  <cp:contentStatus/>
</cp:coreProperties>
</file>