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00" yWindow="65401" windowWidth="15270" windowHeight="12720" activeTab="0"/>
  </bookViews>
  <sheets>
    <sheet name="Приложение 4" sheetId="1" r:id="rId1"/>
  </sheets>
  <definedNames>
    <definedName name="_xlnm._FilterDatabase" localSheetId="0" hidden="1">'Приложение 4'!$X$7:$Z$525</definedName>
    <definedName name="Z_02E18E82_FCD4_470A_A303_CE97954A44A1_.wvu.FilterData" localSheetId="0" hidden="1">'Приложение 4'!$A$7:$AV$7</definedName>
    <definedName name="Z_0F35487D_C2A3_472E_A7BB_504D7AF9E743_.wvu.FilterData" localSheetId="0" hidden="1">'Приложение 4'!$A$7:$AV$7</definedName>
    <definedName name="Z_0F35487D_C2A3_472E_A7BB_504D7AF9E743_.wvu.PrintArea" localSheetId="0" hidden="1">'Приложение 4'!$L$61</definedName>
    <definedName name="Z_1C3B5D4E_9CBC_4DC2_99F5_6CA6BB13F750_.wvu.FilterData" localSheetId="0" hidden="1">'Приложение 4'!$A$7:$AV$7</definedName>
    <definedName name="Z_1C3B5D4E_9CBC_4DC2_99F5_6CA6BB13F750_.wvu.PrintArea" localSheetId="0" hidden="1">'Приложение 4'!$L$61</definedName>
    <definedName name="Z_1E7EE646_3A9F_439B_B15A_26DE47CC1A0F_.wvu.FilterData" localSheetId="0" hidden="1">'Приложение 4'!$A$7:$AV$7</definedName>
    <definedName name="Z_20EFA02D_AF47_45A0_B1D8_A8A7B5D62B16_.wvu.FilterData" localSheetId="0" hidden="1">'Приложение 4'!$A$7:$AV$7</definedName>
    <definedName name="Z_20EFA02D_AF47_45A0_B1D8_A8A7B5D62B16_.wvu.PrintArea" localSheetId="0" hidden="1">'Приложение 4'!$L$61</definedName>
    <definedName name="Z_3D1AB7C9_470F_4B87_845C_7F9280365637_.wvu.FilterData" localSheetId="0" hidden="1">'Приложение 4'!$A$7:$AV$7</definedName>
    <definedName name="Z_46B960B4_AC0E_425E_8C85_3F0E28D7E163_.wvu.Cols" localSheetId="0" hidden="1">'Приложение 4'!$P:$P,'Приложение 4'!$X:$Y</definedName>
    <definedName name="Z_46B960B4_AC0E_425E_8C85_3F0E28D7E163_.wvu.FilterData" localSheetId="0" hidden="1">'Приложение 4'!$A$7:$AV$7</definedName>
    <definedName name="Z_4E2077D0_B015_4191_BE0E_FCBAE43CF836_.wvu.FilterData" localSheetId="0" hidden="1">'Приложение 4'!$A$7:$AV$7</definedName>
    <definedName name="Z_8B365B34_612E_4FF9_95C5_E737E175F653_.wvu.FilterData" localSheetId="0" hidden="1">'Приложение 4'!$A$7:$AV$7</definedName>
    <definedName name="Z_8B365B34_612E_4FF9_95C5_E737E175F653_.wvu.PrintArea" localSheetId="0" hidden="1">'Приложение 4'!$L$61</definedName>
    <definedName name="Z_A327190F_BF3D_4065_9A09_96A02DA82CA9_.wvu.FilterData" localSheetId="0" hidden="1">'Приложение 4'!$A$7:$AV$7</definedName>
    <definedName name="Z_B179F238_C88A_4619_9864_32BBFC39B41A_.wvu.FilterData" localSheetId="0" hidden="1">'Приложение 4'!$A$7:$AV$7</definedName>
    <definedName name="Z_E6AFCAEF_FE79_42D8_AF92_7B3F1F1523F7_.wvu.FilterData" localSheetId="0" hidden="1">'Приложение 4'!$A$7:$AV$7</definedName>
    <definedName name="Z_E6AFCAEF_FE79_42D8_AF92_7B3F1F1523F7_.wvu.PrintArea" localSheetId="0" hidden="1">'Приложение 4'!$L$61</definedName>
    <definedName name="Z_E6AFCAEF_FE79_42D8_AF92_7B3F1F1523F7_.wvu.Rows" localSheetId="0" hidden="1">'Приложение 4'!#REF!</definedName>
    <definedName name="Z_E88BCD66_9726_4C2B_96A8_C90A7D306BC6_.wvu.FilterData" localSheetId="0" hidden="1">'Приложение 4'!$A$7:$AV$7</definedName>
    <definedName name="Z_F200DE87_E8EF_4B86_A198_7912AE147780_.wvu.FilterData" localSheetId="0" hidden="1">'Приложение 4'!$A$7:$AV$7</definedName>
    <definedName name="Z_FCD3E659_D2AC_4526_B7EF_C33AC90F2681_.wvu.FilterData" localSheetId="0" hidden="1">'Приложение 4'!$A$7:$AV$7</definedName>
  </definedNames>
  <calcPr fullCalcOnLoad="1" fullPrecision="0"/>
</workbook>
</file>

<file path=xl/comments1.xml><?xml version="1.0" encoding="utf-8"?>
<comments xmlns="http://schemas.openxmlformats.org/spreadsheetml/2006/main">
  <authors>
    <author>Надежда Н. Долгобородова</author>
  </authors>
  <commentList>
    <comment ref="S290" authorId="0">
      <text>
        <r>
          <rPr>
            <b/>
            <sz val="8"/>
            <rFont val="Tahoma"/>
            <family val="2"/>
          </rPr>
          <t>Надежда Н. Долгобородова:</t>
        </r>
        <r>
          <rPr>
            <sz val="8"/>
            <rFont val="Tahoma"/>
            <family val="2"/>
          </rPr>
          <t xml:space="preserve">
1,800</t>
        </r>
      </text>
    </comment>
    <comment ref="S291" authorId="0">
      <text>
        <r>
          <rPr>
            <b/>
            <sz val="8"/>
            <rFont val="Tahoma"/>
            <family val="2"/>
          </rPr>
          <t>Надежда Н. Долгобородова:</t>
        </r>
        <r>
          <rPr>
            <sz val="8"/>
            <rFont val="Tahoma"/>
            <family val="2"/>
          </rPr>
          <t xml:space="preserve">
4,800</t>
        </r>
      </text>
    </comment>
    <comment ref="S294" authorId="0">
      <text>
        <r>
          <rPr>
            <b/>
            <sz val="8"/>
            <rFont val="Tahoma"/>
            <family val="2"/>
          </rPr>
          <t>Надежда Н. Долгобородова:</t>
        </r>
        <r>
          <rPr>
            <sz val="8"/>
            <rFont val="Tahoma"/>
            <family val="2"/>
          </rPr>
          <t xml:space="preserve">
9,500</t>
        </r>
      </text>
    </comment>
    <comment ref="S295" authorId="0">
      <text>
        <r>
          <rPr>
            <b/>
            <sz val="8"/>
            <rFont val="Tahoma"/>
            <family val="2"/>
          </rPr>
          <t>Надежда Н. Долгобородова:</t>
        </r>
        <r>
          <rPr>
            <sz val="8"/>
            <rFont val="Tahoma"/>
            <family val="2"/>
          </rPr>
          <t xml:space="preserve">
15,00=4079</t>
        </r>
      </text>
    </comment>
    <comment ref="R290" authorId="0">
      <text>
        <r>
          <rPr>
            <b/>
            <sz val="8"/>
            <rFont val="Tahoma"/>
            <family val="2"/>
          </rPr>
          <t>Надежда Н. Долгобородова:</t>
        </r>
        <r>
          <rPr>
            <sz val="8"/>
            <rFont val="Tahoma"/>
            <family val="2"/>
          </rPr>
          <t xml:space="preserve">
1,800</t>
        </r>
      </text>
    </comment>
    <comment ref="R291" authorId="0">
      <text>
        <r>
          <rPr>
            <b/>
            <sz val="8"/>
            <rFont val="Tahoma"/>
            <family val="2"/>
          </rPr>
          <t>Надежда Н. Долгобородова:</t>
        </r>
        <r>
          <rPr>
            <sz val="8"/>
            <rFont val="Tahoma"/>
            <family val="2"/>
          </rPr>
          <t xml:space="preserve">
4,800</t>
        </r>
      </text>
    </comment>
    <comment ref="R294" authorId="0">
      <text>
        <r>
          <rPr>
            <b/>
            <sz val="8"/>
            <rFont val="Tahoma"/>
            <family val="2"/>
          </rPr>
          <t>Надежда Н. Долгобородова:</t>
        </r>
        <r>
          <rPr>
            <sz val="8"/>
            <rFont val="Tahoma"/>
            <family val="2"/>
          </rPr>
          <t xml:space="preserve">
9,500</t>
        </r>
      </text>
    </comment>
    <comment ref="R295" authorId="0">
      <text>
        <r>
          <rPr>
            <b/>
            <sz val="8"/>
            <rFont val="Tahoma"/>
            <family val="2"/>
          </rPr>
          <t>Надежда Н. Долгобородова:</t>
        </r>
        <r>
          <rPr>
            <sz val="8"/>
            <rFont val="Tahoma"/>
            <family val="2"/>
          </rPr>
          <t xml:space="preserve">
15,00=4079</t>
        </r>
      </text>
    </comment>
  </commentList>
</comments>
</file>

<file path=xl/sharedStrings.xml><?xml version="1.0" encoding="utf-8"?>
<sst xmlns="http://schemas.openxmlformats.org/spreadsheetml/2006/main" count="1909" uniqueCount="429">
  <si>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</si>
  <si>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объектов, где восстановлено утраченное ограждение</t>
  </si>
  <si>
    <t>Показатель 4. Количество учреждений оборудованных игровыми площадками</t>
  </si>
  <si>
    <t>Показатель 3. Количество работников муниципальных образовательных организаций, прошедших психиатрическое освидетельствование</t>
  </si>
  <si>
    <t>Показатель 4. Количество муниципальных образовательных организаций, в которых приняты меры по пресечению правонарушений, преступлений с помощью кнопки тревожной сигнализации, охранных систем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</si>
  <si>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</si>
  <si>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</si>
  <si>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</si>
  <si>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</si>
  <si>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</si>
  <si>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</si>
  <si>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</si>
  <si>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</si>
  <si>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</si>
  <si>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</si>
  <si>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</si>
  <si>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</si>
  <si>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</si>
  <si>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Задача: Строительство и капитальный ремонт объектов инфраструктуры  системы образования Северодвинска</t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</si>
  <si>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</si>
  <si>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</si>
  <si>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</si>
  <si>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Показатель 2.Количество лабораторий технического творчества и естественных наук, оснащенных современным оборудованием</t>
  </si>
  <si>
    <t>Административное мероприятие 4.01.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</si>
  <si>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Административное мероприятие 5.01.  Разработка и реализация плана мероприятий по подготовке муниципальных образовательных организаций к новому учебному году</t>
  </si>
  <si>
    <t>Административное мероприятие 1.01. Разработка нормативных правовых актов по вопросам реализации инклюзивного образования</t>
  </si>
  <si>
    <t>Административное мероприятие 2.01. 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</si>
  <si>
    <t>Административное мероприятие  1.01. Разработка и внедрение нормативных правовых актов по вопросам осуществления инновационной деятельности в сфере образования Северодвинска</t>
  </si>
  <si>
    <t>Административное мероприятие  2.01. Разработка и внедрение нормативных правовых актов по вопросам информационной открытости в сфере образования Северодвинска</t>
  </si>
  <si>
    <t>Административное мероприятие 4.01.           Разработка и внедрение нормативных правовых актов по вопросам независимой системы оценки качества работы в сфере образования Северодвинска</t>
  </si>
  <si>
    <t>Мероприятие 1.01. Расходы на содержание органов Администрации Северодвинска и обеспечение их функций</t>
  </si>
  <si>
    <t>Административное мероприятие 2.02.          Подготовка (переподготовка) специалистов в сфере реализации программы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</si>
  <si>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</si>
  <si>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</si>
  <si>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</si>
  <si>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</si>
  <si>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</si>
  <si>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</si>
  <si>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</si>
  <si>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</si>
  <si>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</si>
  <si>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</si>
  <si>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</si>
  <si>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</si>
  <si>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</si>
  <si>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</si>
  <si>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расходных материалов, оборудования для образовательного процесса,  приобретенного на оказание психолого-педагогического сопровождения родителей, чьи дети не посещают дошкольное учреждение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</si>
  <si>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</si>
  <si>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</si>
  <si>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</si>
  <si>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</si>
  <si>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</si>
  <si>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рублей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</si>
  <si>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</si>
  <si>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 xml:space="preserve">рублей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</si>
  <si>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</si>
  <si>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5. Количество объектов муниципальных образовательных организаций, оснащенных мобильными металлодетекторами</t>
  </si>
  <si>
    <t xml:space="preserve">Административное мероприятие 3.01.                   Формирование и утверждение муниципальных заданий муниципальным образовательным организациям дополнительного образования </t>
  </si>
  <si>
    <t>Административное мероприятие 8.01. Разработка нормативных правовых актов по вопросам организации отдыха, оздоровления и занятости детей в каникулярный период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</si>
  <si>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</si>
  <si>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</si>
  <si>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</t>
  </si>
  <si>
    <t>Административное мероприятие  3.01. Организация деятельности школы молодого педагога</t>
  </si>
  <si>
    <t>кв.м,                       не менее</t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</si>
  <si>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</si>
  <si>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</si>
  <si>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единиц,                  не менее</t>
  </si>
  <si>
    <t>Показатель 1. Количество разработанных распоряжений Управления образования Администрации Северодвинска</t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</si>
  <si>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</si>
  <si>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</si>
  <si>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</si>
  <si>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</si>
  <si>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</si>
  <si>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</si>
  <si>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</si>
  <si>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</si>
  <si>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</si>
  <si>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Подпрограмма «Развитие дошкольного, общего и дополнительного образования детей»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</si>
  <si>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«Образование»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</si>
  <si>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«Образование»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</si>
  <si>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«Образование»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</si>
  <si>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«Образование»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</si>
  <si>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«Образование»</t>
  </si>
  <si>
    <t>Показатель 2. Доля образовательных организаций, принявших участие в конкурсе социальных проектов «Дети Северодвинска»</t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</si>
  <si>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</si>
  <si>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r>
      <t>Мероприятие 1.03</t>
    </r>
    <r>
      <rPr>
        <sz val="10"/>
        <color indexed="8"/>
        <rFont val="Times New Roman"/>
        <family val="1"/>
      </rPr>
      <t>.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за счет средств областного бюджета</t>
    </r>
  </si>
  <si>
    <r>
      <t xml:space="preserve">Мероприятие 1.04. </t>
    </r>
    <r>
      <rPr>
        <sz val="10"/>
        <color indexed="8"/>
        <rFont val="Times New Roman"/>
        <family val="1"/>
      </rPr>
      <t>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</si>
  <si>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1.05.</t>
    </r>
    <r>
      <rPr>
        <sz val="10"/>
        <color indexed="8"/>
        <rFont val="Times New Roman"/>
        <family val="1"/>
      </rPr>
      <t xml:space="preserve">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</si>
  <si>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r>
      <t>Мероприятие 1.06.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</si>
  <si>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</si>
  <si>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</si>
  <si>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 обучающихся в общеобразовательных организациях</t>
    </r>
  </si>
  <si>
    <r>
      <t>Мероприятие 2.04.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</si>
  <si>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</si>
  <si>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</si>
  <si>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r>
      <t xml:space="preserve">Мероприятие 3.04. </t>
    </r>
    <r>
      <rPr>
        <sz val="10"/>
        <color indexed="8"/>
        <rFont val="Times New Roman"/>
        <family val="1"/>
      </rPr>
      <t>Реализация дополнительных общеобразовательных программ естественно-научной и технической направленности</t>
    </r>
  </si>
  <si>
    <r>
      <t xml:space="preserve">Мероприятие 4.02. </t>
    </r>
    <r>
      <rPr>
        <sz val="10"/>
        <color indexed="8"/>
        <rFont val="Times New Roman"/>
        <family val="1"/>
      </rPr>
      <t>Проведение мероприятий, направленных на развитие воспитания и социализацию обучающихся</t>
    </r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</si>
  <si>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</si>
  <si>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r>
      <t xml:space="preserve">Мероприятие 5.02. </t>
    </r>
    <r>
      <rPr>
        <sz val="10"/>
        <color indexed="8"/>
        <rFont val="Times New Roman"/>
        <family val="1"/>
      </rPr>
      <t>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</si>
  <si>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</si>
  <si>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</si>
  <si>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</si>
  <si>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видам спорта в муниципальных организациях  дополнительного образования</t>
    </r>
  </si>
  <si>
    <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</si>
  <si>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</si>
  <si>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</si>
  <si>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r>
      <t xml:space="preserve">Мероприятие 9.02. </t>
    </r>
    <r>
      <rPr>
        <sz val="10"/>
        <color indexed="8"/>
        <rFont val="Times New Roman"/>
        <family val="1"/>
      </rPr>
      <t>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</si>
  <si>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</si>
  <si>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</si>
  <si>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</si>
  <si>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</si>
  <si>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</si>
  <si>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r>
      <t>Мероприятие 3.03.</t>
    </r>
    <r>
      <rPr>
        <sz val="10"/>
        <color indexed="8"/>
        <rFont val="Times New Roman"/>
        <family val="1"/>
      </rPr>
      <t xml:space="preserve"> Проведение капитального и текущего ремонтов спортивных сооружений муниципальных образовательных организаций</t>
    </r>
  </si>
  <si>
    <r>
      <t>Мероприятие 3.04.</t>
    </r>
    <r>
      <rPr>
        <sz val="10"/>
        <color indexed="8"/>
        <rFont val="Times New Roman"/>
        <family val="1"/>
      </rPr>
      <t xml:space="preserve"> 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</si>
  <si>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</si>
  <si>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</si>
  <si>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r>
      <t>Мероприятие 3.07</t>
    </r>
    <r>
      <rPr>
        <sz val="10"/>
        <color indexed="8"/>
        <rFont val="Times New Roman"/>
        <family val="1"/>
      </rPr>
      <t>. Выполнение работ по комплексному ремонту помещений зданий муниципальных образовательных организаций</t>
    </r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</si>
  <si>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</t>
    </r>
  </si>
  <si>
    <r>
      <t xml:space="preserve">Мероприятие 1.03. </t>
    </r>
    <r>
      <rPr>
        <sz val="10"/>
        <color indexed="8"/>
        <rFont val="Times New Roman"/>
        <family val="1"/>
      </rPr>
      <t>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</si>
  <si>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повышение уровня благоустройства территорий муниципальных образовательных организаций</t>
    </r>
  </si>
  <si>
    <r>
      <t xml:space="preserve">Мероприятие 5.02. </t>
    </r>
    <r>
      <rPr>
        <sz val="10"/>
        <color indexed="8"/>
        <rFont val="Times New Roman"/>
        <family val="1"/>
      </rPr>
      <t>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</si>
  <si>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</si>
  <si>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</si>
  <si>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развитие инновационной деятельности в сфере образования Северодвинска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</si>
  <si>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развитие информационной образовательной среды</t>
    </r>
  </si>
  <si>
    <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</si>
  <si>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>Мероприятие 3.03.</t>
    </r>
    <r>
      <rPr>
        <sz val="10"/>
        <color indexed="8"/>
        <rFont val="Times New Roman"/>
        <family val="1"/>
      </rPr>
      <t xml:space="preserve"> 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</si>
  <si>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</si>
  <si>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r>
      <t>Мероприятие 3.05.</t>
    </r>
    <r>
      <rPr>
        <sz val="10"/>
        <color indexed="8"/>
        <rFont val="Times New Roman"/>
        <family val="1"/>
      </rPr>
      <t>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  </r>
  </si>
  <si>
    <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</si>
  <si>
    <t>Показатель 5. Численность обучающихся, прошедших спортивную подготовку</t>
  </si>
  <si>
    <r>
      <t xml:space="preserve">Мероприятие 4.02. </t>
    </r>
    <r>
      <rPr>
        <sz val="10"/>
        <color indexed="8"/>
        <rFont val="Times New Roman"/>
        <family val="1"/>
      </rPr>
      <t>Проведение мероприятий, направленных на повышение защищенности территории и зданий муниципальных образовательных организаций</t>
    </r>
  </si>
  <si>
    <t>Показатель 3. Количество обучающихся образовательных организаций, принявших участие в проекте  «Инженеры будущего»</t>
  </si>
  <si>
    <t>Показатель 4. Количество обучающихся, освоивших программу  «3D-моделирование»</t>
  </si>
  <si>
    <t>Показатель 1. Количество мероприятий, проведенных на базе оборудованных кабинетов профориентации МБОУ «СОШ № 9», МБОУ ДО «Детский морской центр «Североморец»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</si>
  <si>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 «Образование»</t>
  </si>
  <si>
    <t>Показатель 3. Доля обучающихся муниципальных образовательных организаций, выполнивших нормативы Всероссийского физкультурно-спортивного комплекса «Готов к труду и обороне» (ГТО), в общей численности обучающихся муниципальных образовательных организаций, принявших участие в выполнении нормативов ВФСК ГТО</t>
  </si>
  <si>
    <t>Показатель 4. Количество обучающихся, участвующих в муниципальной конференции старшеклассников «Юность Северодвинска»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</si>
  <si>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«Образование»</t>
  </si>
  <si>
    <t xml:space="preserve">%, не менее </t>
  </si>
  <si>
    <t>Показатель 2. Количество объектов муниципальных организаций, оснащенных системами видеонаблюдения</t>
  </si>
  <si>
    <t>Показатель 6. Количество объектов муниципальных организаций, в которых проведена модернизация систем видеонаблюдения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</si>
  <si>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«Образование»</t>
  </si>
  <si>
    <t>Подпрограмма «Развитие инфраструктуры муниципальной системы образования Северодвинска»</t>
  </si>
  <si>
    <t>Показатель 7. Средняя численность работников образовательных организаций, реализующих дошкольное образование, которым предоставлена  доплата  до минимального размера, установленного законодательством</t>
  </si>
  <si>
    <t>Показатель 6. Средняя численность работников общеобразовательных организаций, которым предоставлена  доплата  до минимального размера, установленного законодательством</t>
  </si>
  <si>
    <t>Показатель 4.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</si>
  <si>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Показатель 5.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</si>
  <si>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Подпрограмма «Формирование комфортной и безопасной образовательной среды»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</si>
  <si>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«Образование»</t>
  </si>
  <si>
    <t>Подпрограмма «Безбарьерная среда муниципальных образовательных учреждений Северодвинска»</t>
  </si>
  <si>
    <t>Подпрограмма «Совершенствование системы предоставления услуг в сфере образования Северодвинска»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</si>
  <si>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«Образование»</t>
  </si>
  <si>
    <t>Административное мероприятие 2.01. Разработка нормативных правовых актов, необходимых для реализации законодательства в сфере образования на территории муниципального образования «Северодвинск»</t>
  </si>
  <si>
    <t>Показатель 6. Среднемесячная заработная плата педагогических работников муниципальных образовательных организаций, реализующих образовательную программу дошкольного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</si>
  <si>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</si>
  <si>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</si>
  <si>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>Показатель 5. Среднемесячная заработная плата педагогических работников муниципальных общеобразовательных организаций в муниципальном образовании</t>
  </si>
  <si>
    <t>Показатель 2.Количество общеобразовательных организаций, осуществляющих организацию питания обучающихся, осваивающих адаптированные основные общеобразовательные программы для обучающихся с ограниченными возможностями здоровья ежегодно</t>
  </si>
  <si>
    <t>Показатель 3. Численность обучающихся, обеспеченных бесплатным питанием</t>
  </si>
  <si>
    <t>Показатель 3. Количество общеобразовательных организаций, оснащенных техническими средствами обучения, современным программным обеспечением</t>
  </si>
  <si>
    <t xml:space="preserve">Показатель 1. Доля обучающихся по дополнительным общеразвивающим программам, ориентированным на применение высокотехнологичного оборудования и современных технологий </t>
  </si>
  <si>
    <t>Административное мероприятие 6.01.       Разработка и внедрение нормативных правовых актов по вопросам развития физической культуры и спорта в сфере образования Северодвинска</t>
  </si>
  <si>
    <t>Показатель 4. Количество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</t>
  </si>
  <si>
    <t xml:space="preserve">Показатель 1. Доля учреждений, для которых  утверждены нормативные затраты на выполнение муниципальных функций </t>
  </si>
  <si>
    <t>Показатель 3.Численность работников образовательных организаций, реализующих дошкольное образование,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</si>
  <si>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1. Обеспечение деятельности ответственного исполнителя муниципальной программы –  муниципального казенного учреждения «Управление образования Администрации Северодвинска»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</si>
  <si>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</si>
  <si>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</si>
  <si>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</si>
  <si>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</si>
  <si>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</si>
  <si>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</si>
  <si>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</si>
  <si>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</si>
  <si>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</si>
  <si>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</si>
  <si>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</si>
  <si>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</si>
  <si>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</si>
  <si>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</si>
  <si>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</si>
  <si>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</si>
  <si>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</si>
  <si>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</si>
  <si>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</si>
  <si>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Количество детей, их родителей (законных представителей), педагогических работников, охваченных коррекционно-развивающей, компенсирующей и логопедической помощью, психолого-медико-педагогическим обследованием, психолого-педагогическим консультированием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</si>
  <si>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</si>
  <si>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</si>
  <si>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</si>
  <si>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</si>
  <si>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</si>
  <si>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</si>
  <si>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</si>
  <si>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Значение </t>
  </si>
  <si>
    <t>Показатель 3. Количество посещений, обращений граждан на портале Управления образования Администрации Северодвинска</t>
  </si>
  <si>
    <t>Показатель 2. Количество нормативных правовых актов по вопросам функционирования в сфере образования Северодвинска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</si>
  <si>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</si>
  <si>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</si>
  <si>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</si>
  <si>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</si>
  <si>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</si>
  <si>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</si>
  <si>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</si>
  <si>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</si>
  <si>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</si>
  <si>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</si>
  <si>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</si>
  <si>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Попа Сергей Григорьевич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</si>
  <si>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</si>
  <si>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</si>
  <si>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</si>
  <si>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</si>
  <si>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</si>
  <si>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</si>
  <si>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</si>
  <si>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</si>
  <si>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</si>
  <si>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</si>
  <si>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</si>
  <si>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</si>
  <si>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</si>
  <si>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Показатель 1. Количество проведенных организационно-методических мероприятий</t>
  </si>
  <si>
    <t>Показатель 3. Среднемесячная заработная плата педагогических работников муниципальных учреждений дополнительного образования</t>
  </si>
  <si>
    <t>руб.</t>
  </si>
  <si>
    <t>Областной  бюджет</t>
  </si>
  <si>
    <t>чел./час</t>
  </si>
  <si>
    <t>2. Административные мероприятия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</si>
  <si>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</si>
  <si>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</si>
  <si>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</si>
  <si>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</si>
  <si>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3. Количество построенных сараев для хозяйственного инвентаря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</si>
  <si>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</si>
  <si>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</si>
  <si>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Административное мероприятие  5.01.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</si>
  <si>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 xml:space="preserve">Административное мероприятие  7.01. Разработка  и реализация плана мероприятий по выявлению и поддержке одаренных (талантливых) детей </t>
  </si>
  <si>
    <t>Административное мероприятие  9.01. Формирование и утверждение муниципального задания МБОУ  ЦППМСП</t>
  </si>
  <si>
    <t>Административное мероприятие 1.01. Утверждение перечня объектов муниципальных образовательных организаций, подлежащих строительству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</si>
  <si>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</si>
  <si>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</si>
  <si>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>Показатель 3. Число детей, охваченных деятельностью детского технопарка "Кванториум" (мобильного технопарка "Кванториум") и других проектов, направленных на обеспечение доступности дополнительных образовательных программ естественнонаучной и технической направленности</t>
  </si>
  <si>
    <t>человек, не менее</t>
  </si>
  <si>
    <t>Показатель 4. Количество специальных транспортных средств осуществляющих перезвозку  детей</t>
  </si>
  <si>
    <t>Показатель 2. Количество оборудования, приобретенного для объединений судомоделирования  и радиоконструирования МАОУДО  «Северный Кванториум»</t>
  </si>
  <si>
    <t>Показатель 3. Количество выездов команды МАОУДО  «Северный Кванториум» на российские соревнования по судомоделированию</t>
  </si>
  <si>
    <t>Показатель 5. Оказание услуг по предоставлению легкоатлетических дорожек, прыжковой ямы, лыжной трассы, беговой трассы стадиона «Север» для проведения спортивных состязаний, нежилого помещения МАСОУ «Строитель» для проведения занятий по боксу</t>
  </si>
  <si>
    <t>Показатель 7.Оказание услуг по предоставлению крытого хоккейного корта с искусственным льдом</t>
  </si>
  <si>
    <t>Показатель 2. Количество структурных подразделений общеобразовательных организаций, оснащённых компьютерной техникой, медицинским оборудованием, мебелью, мягким инвентарем, материалами ежегодно</t>
  </si>
  <si>
    <t>Показатель 9. Количество разработанных проектов на выполнение работ связанных с системы отопления</t>
  </si>
  <si>
    <t xml:space="preserve">Показатель 4. Количество мероприятий, проведенных на базе муниципальных образовательных организаций по профилактике детского дорожно-транспортного травматизма и безопасности дорожного движения </t>
  </si>
  <si>
    <t>Мероприятие 4.04.  Проведение мероприятий по безопасности дорожного движения и профилактике детского дорожно-транспортного травматизма</t>
  </si>
  <si>
    <t>Показатель 1. Количество обучающихся образовательных организаций, принявших участие в мероприятиях по безопасности дорожного движения и профилактике детского дорожно-транспортного травматизма</t>
  </si>
  <si>
    <t>Показатель 2. Количество световозвращающих элементов, приобретенных для обучающихся муниципальных образовательных организаций</t>
  </si>
  <si>
    <t xml:space="preserve">Показатель 5. Количество установленного игрового оборудования и леерного ограждения на территории муниципальных образовательных организаций, реализующих программы дошкольного образования </t>
  </si>
  <si>
    <t>Показатель 1. Количество зданий муниципальных образовательных организаций, на которых проведено усиление строительных конструкций</t>
  </si>
  <si>
    <t>Показатель 3. Доля муниципальных образовательных организаций, в которых проведены работы по усилению конструкций зданий</t>
  </si>
  <si>
    <t>Показатель 3.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усилению конструкций зданий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</si>
  <si>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</si>
  <si>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</si>
  <si>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t>Показатель 2. Средняя наполняемость классов (без учета классов для детей с ограниченными возможностями здоровья) ежегодно</t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</si>
  <si>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</si>
  <si>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</si>
  <si>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</si>
  <si>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</si>
  <si>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</si>
  <si>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</si>
  <si>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</si>
  <si>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</si>
  <si>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</si>
  <si>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</si>
  <si>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</si>
  <si>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</si>
  <si>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</si>
  <si>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</si>
  <si>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</si>
  <si>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</si>
  <si>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</si>
  <si>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</si>
  <si>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</si>
  <si>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8. Удовлетворенность родителей качеством общего и дополнительного образования детей в муниципальных образовательных организациях</t>
  </si>
  <si>
    <t>Административное мероприятие 2.01. Формирование и утверждение муниципальных заданий муниципальным общеобразовательным организациям</t>
  </si>
  <si>
    <t xml:space="preserve">Административное мероприятие 1.01. Формирование и утверждение нормативных затрат МКУ ЦОФООС на выполнение муниципальных функций </t>
  </si>
  <si>
    <t>Показатель 3. Доля обучающихся, вовлеченных  во внеурочное время в трудовую, общественно-полезную деятельность, в общей численности обучающихся</t>
  </si>
  <si>
    <t>Показатель 1. Степень выполнения  плана мероприятий по организации воспитания и социализации обучающихся ежегодно</t>
  </si>
  <si>
    <t>Показатель 2. Степень выполнения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</si>
  <si>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3. Доля обучающихся, задействованных в системе мероприятий по выявлению и поддержке одаренных (талантливых) детей , в общей численности обучающихся</t>
  </si>
  <si>
    <t>Показатель 4. Количество оказанных услуг психолого-педагогической, медицинской и консультативной помощи родителям (законным представителям)</t>
  </si>
  <si>
    <t>Показатель 3. Доля работников муниципальных образовательных организаций, прошедших психиатрическое освидетельствование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</si>
  <si>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</si>
  <si>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</si>
  <si>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</si>
  <si>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</si>
  <si>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</si>
  <si>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</si>
  <si>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</si>
  <si>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</si>
  <si>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</si>
  <si>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</si>
  <si>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</si>
  <si>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</si>
  <si>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</si>
  <si>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</si>
  <si>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</si>
  <si>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</si>
  <si>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</si>
  <si>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</si>
  <si>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</si>
  <si>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Показатель 3.Численность педагогических работников образовательных учреждений в сельской местности, рабочих поселках (поселках городского типа), пользующихся социальной поддержкой по предоставлению компенсации расходов на оплату жилых помещений, отопления и освещения</t>
  </si>
  <si>
    <t>Показатель 4.Численность работников общеобразовательных организаций,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</si>
  <si>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5. Численность работников организаций дополнительного образования,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</si>
  <si>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1. Среднегодовой контингент обучающихся в муниципальных общеобразовательных организациях</t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</si>
  <si>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</si>
  <si>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</si>
  <si>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</si>
  <si>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</si>
  <si>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</si>
  <si>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</si>
  <si>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</si>
  <si>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</si>
  <si>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</si>
  <si>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</si>
  <si>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</si>
  <si>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</si>
  <si>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</si>
  <si>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</si>
  <si>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</si>
  <si>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</si>
  <si>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</si>
  <si>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</si>
  <si>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</si>
  <si>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</si>
  <si>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</si>
  <si>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</si>
  <si>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</si>
  <si>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</si>
  <si>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 xml:space="preserve">Показатель 1. Количество мероприятий по выявлению и поддержке одаренных (талантливых) детей 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</si>
  <si>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</si>
  <si>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</si>
  <si>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</si>
  <si>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</si>
  <si>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Задача: Развитие системы психолого-педагогической, медицинской и социальной помощи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</si>
  <si>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</si>
  <si>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</si>
  <si>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</si>
  <si>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</si>
  <si>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</si>
  <si>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</si>
  <si>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</si>
  <si>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</si>
  <si>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</si>
  <si>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</si>
  <si>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</si>
  <si>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</si>
  <si>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</si>
  <si>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</si>
  <si>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</si>
  <si>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t>Показатель 1. Количество зданий муниципальных образовательных организаций, прошедших капитальный ремонт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</si>
  <si>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</si>
  <si>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</si>
  <si>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</si>
  <si>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</si>
  <si>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</si>
  <si>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</si>
  <si>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</si>
  <si>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</si>
  <si>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</si>
  <si>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</si>
  <si>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</si>
  <si>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</si>
  <si>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</si>
  <si>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</si>
  <si>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</si>
  <si>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</si>
  <si>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</si>
  <si>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</si>
  <si>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</si>
  <si>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</si>
  <si>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6. Доля муниципальных образовательных организаций, в которых проведены мероприятия по обеспечению пожарной безопасности в соответствии с Правилами противопожарного режима в Российской Федерации</t>
  </si>
  <si>
    <t>Административное мероприятие 3.01.  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</si>
  <si>
    <t>Показатель 1. Количество планов мероприятий по исполнению предписаний ОНД г. Северодвинска</t>
  </si>
  <si>
    <r>
      <t xml:space="preserve">Мероприятие 3.02. </t>
    </r>
    <r>
      <rPr>
        <sz val="10"/>
        <color indexed="8"/>
        <rFont val="Times New Roman"/>
        <family val="1"/>
      </rPr>
      <t>Обеспечение дублирования сигнала о возникновении пожара на пульт подразделения пожарной охраны</t>
    </r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</si>
  <si>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</si>
  <si>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 на пульт подразделения, ответственного за их противопожарную безопасность</t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</si>
  <si>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</si>
  <si>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t xml:space="preserve">Показатель 1. Количество дверей 0,6 часа степени огнестойкости, установленных в пожароопасных помещениях 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</si>
  <si>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</si>
  <si>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</si>
  <si>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4. Количество муниципальных образовательных организаций, в которых обеспечено техническое обслуживание систем пожарно-охранной сигнализации и средств оповещения и управления эвакуацией людей при пожаре</t>
  </si>
  <si>
    <t>отклонения 2020</t>
  </si>
  <si>
    <r>
      <t xml:space="preserve">Ответственный исполнитель                                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Управление образования Администрации Северодвинска</t>
    </r>
  </si>
  <si>
    <r>
      <rPr>
        <b/>
        <sz val="10"/>
        <rFont val="Times New Roman"/>
        <family val="1"/>
      </rPr>
      <t>Мероприятие 2.04.</t>
    </r>
    <r>
      <rPr>
        <sz val="10"/>
        <rFont val="Times New Roman"/>
        <family val="1"/>
      </rPr>
      <t xml:space="preserve"> Проведение мероприятий, направленных на усиление строительных конструкций зданий муниципальных образовательных организаций</t>
    </r>
  </si>
  <si>
    <t xml:space="preserve">Показатель 5. Количество объектов, оборудованных системами автоматической пожарной сигнализации и оповещения и управления эвакуацией при пожаре в соответствии с нормативами 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</si>
  <si>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</si>
  <si>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</si>
  <si>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</si>
  <si>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</si>
  <si>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</si>
  <si>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</si>
  <si>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</si>
  <si>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</si>
  <si>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</si>
  <si>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</si>
  <si>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</si>
  <si>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</si>
  <si>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</si>
  <si>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</si>
  <si>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</si>
  <si>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</si>
  <si>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 Общая площадь подведомственных объектов</t>
  </si>
  <si>
    <t>кв.м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</si>
  <si>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</si>
  <si>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</si>
  <si>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</si>
  <si>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</si>
  <si>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</si>
  <si>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</si>
  <si>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4. Доля муниципальных образовательных организаций, в которых проведены мероприятия по  обеспечению технической укрепленности и антитеррористической защищенности</t>
  </si>
  <si>
    <t>Показатель 4. Площадь благоустроенной территории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</si>
  <si>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</si>
  <si>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</si>
  <si>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</si>
  <si>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</si>
  <si>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>2020      НАЧАЛО</t>
  </si>
  <si>
    <t>2021      НАЧАЛО</t>
  </si>
  <si>
    <t>2022      НАЧАЛО</t>
  </si>
  <si>
    <t>Характеристика муниципальной программы «Развитие образования Северодвинска»</t>
  </si>
  <si>
    <t xml:space="preserve">Приложение 4 к муниципальной программе «Развитие образования Северодвинска», утвержденной постановлением Администрации Северодвинска от 09.03.2016 № 58-па       </t>
  </si>
  <si>
    <t>Муниципальная программа «Развитие образования Северодвинска»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</si>
</sst>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#,##0.00_ ;[Red]\-#,##0.00\ "/>
    <numFmt numFmtId="192" formatCode="_-* #,##0.0\ _₽_-;\-* #,##0.0\ _₽_-;_-* &quot;-&quot;?\ _₽_-;_-@_-"/>
    <numFmt numFmtId="193" formatCode="#,##0_ ;[Red]\-#,##0\ "/>
    <numFmt numFmtId="194" formatCode="[$-FC19]d\ mmmm\ yyyy\ &quot;г.&quot;"/>
  </numFmts>
  <fonts count="6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7030A0"/>
      <name val="Times New Roman"/>
      <family val="1"/>
    </font>
    <font>
      <b/>
      <sz val="8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3">
    <xf numFmtId="0" fontId="0" fillId="0" borderId="0" xfId="0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172" fontId="7" fillId="35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7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1" fontId="2" fillId="34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4" fontId="7" fillId="34" borderId="10" xfId="63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7" fillId="34" borderId="10" xfId="63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center" vertical="center" wrapText="1"/>
      <protection/>
    </xf>
    <xf numFmtId="172" fontId="2" fillId="32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2" fillId="34" borderId="0" xfId="0" applyNumberFormat="1" applyFont="1" applyFill="1" applyAlignment="1">
      <alignment/>
    </xf>
    <xf numFmtId="0" fontId="7" fillId="36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16" fontId="7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3" fontId="2" fillId="35" borderId="10" xfId="53" applyNumberFormat="1" applyFont="1" applyFill="1" applyBorder="1" applyAlignment="1">
      <alignment horizontal="center" vertical="center" wrapText="1"/>
      <protection/>
    </xf>
    <xf numFmtId="3" fontId="2" fillId="34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3" fontId="7" fillId="34" borderId="10" xfId="63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16" fontId="7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top" wrapText="1"/>
    </xf>
    <xf numFmtId="3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vertical="top" wrapText="1"/>
    </xf>
    <xf numFmtId="0" fontId="2" fillId="34" borderId="0" xfId="0" applyFont="1" applyFill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172" fontId="7" fillId="36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72" fontId="7" fillId="34" borderId="10" xfId="63" applyNumberFormat="1" applyFont="1" applyFill="1" applyBorder="1" applyAlignment="1">
      <alignment horizontal="center" vertical="center" wrapText="1"/>
    </xf>
    <xf numFmtId="172" fontId="7" fillId="32" borderId="10" xfId="63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172" fontId="7" fillId="35" borderId="10" xfId="0" applyNumberFormat="1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" borderId="0" xfId="0" applyFont="1" applyFill="1" applyAlignment="1">
      <alignment/>
    </xf>
    <xf numFmtId="0" fontId="7" fillId="35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7" fillId="35" borderId="10" xfId="0" applyNumberFormat="1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172" fontId="7" fillId="38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7" fillId="39" borderId="10" xfId="0" applyFont="1" applyFill="1" applyBorder="1" applyAlignment="1">
      <alignment horizontal="center" vertical="center" wrapText="1"/>
    </xf>
    <xf numFmtId="172" fontId="7" fillId="40" borderId="10" xfId="0" applyNumberFormat="1" applyFont="1" applyFill="1" applyBorder="1" applyAlignment="1">
      <alignment horizontal="center" vertical="center" wrapText="1"/>
    </xf>
    <xf numFmtId="172" fontId="2" fillId="39" borderId="10" xfId="0" applyNumberFormat="1" applyFont="1" applyFill="1" applyBorder="1" applyAlignment="1">
      <alignment horizontal="center" vertical="center" wrapText="1"/>
    </xf>
    <xf numFmtId="172" fontId="7" fillId="41" borderId="10" xfId="0" applyNumberFormat="1" applyFont="1" applyFill="1" applyBorder="1" applyAlignment="1">
      <alignment horizontal="center" vertical="center" wrapText="1"/>
    </xf>
    <xf numFmtId="172" fontId="7" fillId="39" borderId="10" xfId="0" applyNumberFormat="1" applyFont="1" applyFill="1" applyBorder="1" applyAlignment="1">
      <alignment horizontal="center" vertical="center" wrapText="1"/>
    </xf>
    <xf numFmtId="173" fontId="2" fillId="37" borderId="10" xfId="0" applyNumberFormat="1" applyFont="1" applyFill="1" applyBorder="1" applyAlignment="1">
      <alignment horizontal="center" vertical="center" wrapText="1"/>
    </xf>
    <xf numFmtId="172" fontId="7" fillId="37" borderId="10" xfId="0" applyNumberFormat="1" applyFont="1" applyFill="1" applyBorder="1" applyAlignment="1">
      <alignment horizontal="center" vertical="center" wrapText="1"/>
    </xf>
    <xf numFmtId="172" fontId="7" fillId="36" borderId="10" xfId="0" applyNumberFormat="1" applyFont="1" applyFill="1" applyBorder="1" applyAlignment="1">
      <alignment horizontal="center" vertical="center" wrapText="1"/>
    </xf>
    <xf numFmtId="3" fontId="2" fillId="37" borderId="10" xfId="53" applyNumberFormat="1" applyFont="1" applyFill="1" applyBorder="1" applyAlignment="1">
      <alignment horizontal="center" vertical="center" wrapText="1"/>
      <protection/>
    </xf>
    <xf numFmtId="3" fontId="2" fillId="37" borderId="10" xfId="0" applyNumberFormat="1" applyFont="1" applyFill="1" applyBorder="1" applyAlignment="1">
      <alignment horizontal="center" vertical="center" wrapText="1"/>
    </xf>
    <xf numFmtId="174" fontId="7" fillId="37" borderId="10" xfId="63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2" fontId="7" fillId="37" borderId="10" xfId="63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53" applyNumberFormat="1" applyFont="1" applyFill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vertical="center" wrapText="1"/>
    </xf>
    <xf numFmtId="172" fontId="2" fillId="32" borderId="10" xfId="53" applyNumberFormat="1" applyFont="1" applyFill="1" applyBorder="1" applyAlignment="1">
      <alignment horizontal="center" vertical="center" wrapText="1"/>
      <protection/>
    </xf>
    <xf numFmtId="3" fontId="2" fillId="34" borderId="10" xfId="53" applyNumberFormat="1" applyFont="1" applyFill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2" fontId="2" fillId="37" borderId="10" xfId="53" applyNumberFormat="1" applyFont="1" applyFill="1" applyBorder="1" applyAlignment="1">
      <alignment horizontal="center" vertical="center" wrapText="1"/>
      <protection/>
    </xf>
    <xf numFmtId="1" fontId="2" fillId="37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2" fontId="19" fillId="37" borderId="10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9" fillId="37" borderId="0" xfId="0" applyFont="1" applyFill="1" applyBorder="1" applyAlignment="1">
      <alignment vertical="center"/>
    </xf>
    <xf numFmtId="0" fontId="2" fillId="39" borderId="10" xfId="0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173" fontId="2" fillId="39" borderId="10" xfId="0" applyNumberFormat="1" applyFont="1" applyFill="1" applyBorder="1" applyAlignment="1">
      <alignment horizontal="center" vertical="center" wrapText="1"/>
    </xf>
    <xf numFmtId="0" fontId="17" fillId="34" borderId="10" xfId="53" applyFont="1" applyFill="1" applyBorder="1" applyAlignment="1">
      <alignment horizontal="left" vertical="center" wrapText="1"/>
      <protection/>
    </xf>
    <xf numFmtId="0" fontId="17" fillId="35" borderId="10" xfId="0" applyFont="1" applyFill="1" applyBorder="1" applyAlignment="1">
      <alignment horizontal="left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7" fillId="38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7" fillId="34" borderId="10" xfId="63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172" fontId="54" fillId="37" borderId="10" xfId="0" applyNumberFormat="1" applyFont="1" applyFill="1" applyBorder="1" applyAlignment="1">
      <alignment horizontal="center" vertical="center" wrapText="1"/>
    </xf>
    <xf numFmtId="172" fontId="54" fillId="34" borderId="10" xfId="0" applyNumberFormat="1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172" fontId="55" fillId="40" borderId="10" xfId="0" applyNumberFormat="1" applyFont="1" applyFill="1" applyBorder="1" applyAlignment="1">
      <alignment horizontal="center" vertical="center" wrapText="1"/>
    </xf>
    <xf numFmtId="172" fontId="56" fillId="39" borderId="10" xfId="0" applyNumberFormat="1" applyFont="1" applyFill="1" applyBorder="1" applyAlignment="1">
      <alignment horizontal="center" vertical="center" wrapText="1"/>
    </xf>
    <xf numFmtId="172" fontId="55" fillId="41" borderId="10" xfId="0" applyNumberFormat="1" applyFont="1" applyFill="1" applyBorder="1" applyAlignment="1">
      <alignment horizontal="center" vertical="center" wrapText="1"/>
    </xf>
    <xf numFmtId="172" fontId="55" fillId="39" borderId="10" xfId="0" applyNumberFormat="1" applyFont="1" applyFill="1" applyBorder="1" applyAlignment="1">
      <alignment horizontal="center" vertical="center" wrapText="1"/>
    </xf>
    <xf numFmtId="172" fontId="56" fillId="37" borderId="10" xfId="0" applyNumberFormat="1" applyFont="1" applyFill="1" applyBorder="1" applyAlignment="1">
      <alignment horizontal="center" vertical="center" wrapText="1"/>
    </xf>
    <xf numFmtId="173" fontId="56" fillId="42" borderId="10" xfId="0" applyNumberFormat="1" applyFont="1" applyFill="1" applyBorder="1" applyAlignment="1">
      <alignment horizontal="center" vertical="center" wrapText="1"/>
    </xf>
    <xf numFmtId="0" fontId="56" fillId="37" borderId="10" xfId="0" applyNumberFormat="1" applyFont="1" applyFill="1" applyBorder="1" applyAlignment="1">
      <alignment horizontal="center" vertical="center" wrapText="1"/>
    </xf>
    <xf numFmtId="172" fontId="55" fillId="38" borderId="10" xfId="0" applyNumberFormat="1" applyFont="1" applyFill="1" applyBorder="1" applyAlignment="1">
      <alignment horizontal="center" vertical="center" wrapText="1"/>
    </xf>
    <xf numFmtId="172" fontId="55" fillId="37" borderId="10" xfId="0" applyNumberFormat="1" applyFont="1" applyFill="1" applyBorder="1" applyAlignment="1">
      <alignment horizontal="center" vertical="center" wrapText="1"/>
    </xf>
    <xf numFmtId="3" fontId="56" fillId="37" borderId="10" xfId="0" applyNumberFormat="1" applyFont="1" applyFill="1" applyBorder="1" applyAlignment="1">
      <alignment horizontal="center" vertical="center" wrapText="1"/>
    </xf>
    <xf numFmtId="172" fontId="55" fillId="35" borderId="10" xfId="0" applyNumberFormat="1" applyFont="1" applyFill="1" applyBorder="1" applyAlignment="1">
      <alignment horizontal="center" vertical="center" wrapText="1"/>
    </xf>
    <xf numFmtId="172" fontId="55" fillId="34" borderId="10" xfId="0" applyNumberFormat="1" applyFont="1" applyFill="1" applyBorder="1" applyAlignment="1">
      <alignment horizontal="center" vertical="center" wrapText="1"/>
    </xf>
    <xf numFmtId="172" fontId="55" fillId="36" borderId="10" xfId="0" applyNumberFormat="1" applyFont="1" applyFill="1" applyBorder="1" applyAlignment="1">
      <alignment horizontal="center" vertical="center" wrapText="1"/>
    </xf>
    <xf numFmtId="172" fontId="56" fillId="38" borderId="10" xfId="0" applyNumberFormat="1" applyFont="1" applyFill="1" applyBorder="1" applyAlignment="1">
      <alignment horizontal="center" vertical="center" wrapText="1"/>
    </xf>
    <xf numFmtId="3" fontId="56" fillId="37" borderId="10" xfId="53" applyNumberFormat="1" applyFont="1" applyFill="1" applyBorder="1" applyAlignment="1">
      <alignment horizontal="center" vertical="center" wrapText="1"/>
      <protection/>
    </xf>
    <xf numFmtId="172" fontId="56" fillId="34" borderId="10" xfId="0" applyNumberFormat="1" applyFont="1" applyFill="1" applyBorder="1" applyAlignment="1">
      <alignment horizontal="center" vertical="center" wrapText="1"/>
    </xf>
    <xf numFmtId="172" fontId="56" fillId="32" borderId="10" xfId="0" applyNumberFormat="1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74" fontId="55" fillId="34" borderId="10" xfId="63" applyNumberFormat="1" applyFont="1" applyFill="1" applyBorder="1" applyAlignment="1">
      <alignment horizontal="center" vertical="center" wrapText="1"/>
    </xf>
    <xf numFmtId="173" fontId="55" fillId="37" borderId="10" xfId="63" applyNumberFormat="1" applyFont="1" applyFill="1" applyBorder="1" applyAlignment="1">
      <alignment horizontal="center" vertical="center" wrapText="1"/>
    </xf>
    <xf numFmtId="174" fontId="55" fillId="37" borderId="10" xfId="63" applyNumberFormat="1" applyFont="1" applyFill="1" applyBorder="1" applyAlignment="1">
      <alignment horizontal="center" vertical="center" wrapText="1"/>
    </xf>
    <xf numFmtId="172" fontId="55" fillId="33" borderId="10" xfId="0" applyNumberFormat="1" applyFont="1" applyFill="1" applyBorder="1" applyAlignment="1">
      <alignment horizontal="center" vertical="center" wrapText="1"/>
    </xf>
    <xf numFmtId="172" fontId="55" fillId="37" borderId="10" xfId="63" applyNumberFormat="1" applyFont="1" applyFill="1" applyBorder="1" applyAlignment="1">
      <alignment horizontal="center" vertical="center" wrapText="1"/>
    </xf>
    <xf numFmtId="172" fontId="56" fillId="35" borderId="10" xfId="0" applyNumberFormat="1" applyFont="1" applyFill="1" applyBorder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center" vertical="center" wrapText="1"/>
    </xf>
    <xf numFmtId="172" fontId="55" fillId="37" borderId="10" xfId="0" applyNumberFormat="1" applyFont="1" applyFill="1" applyBorder="1" applyAlignment="1">
      <alignment horizontal="center" vertical="center"/>
    </xf>
    <xf numFmtId="172" fontId="57" fillId="37" borderId="0" xfId="0" applyNumberFormat="1" applyFont="1" applyFill="1" applyBorder="1" applyAlignment="1">
      <alignment vertical="center"/>
    </xf>
    <xf numFmtId="0" fontId="56" fillId="37" borderId="10" xfId="0" applyFont="1" applyFill="1" applyBorder="1" applyAlignment="1">
      <alignment horizontal="center" vertical="center" wrapText="1"/>
    </xf>
    <xf numFmtId="172" fontId="56" fillId="43" borderId="10" xfId="0" applyNumberFormat="1" applyFont="1" applyFill="1" applyBorder="1" applyAlignment="1">
      <alignment horizontal="center" vertical="center" wrapText="1"/>
    </xf>
    <xf numFmtId="173" fontId="56" fillId="43" borderId="10" xfId="0" applyNumberFormat="1" applyFont="1" applyFill="1" applyBorder="1" applyAlignment="1">
      <alignment horizontal="center" vertical="center" wrapText="1"/>
    </xf>
    <xf numFmtId="3" fontId="56" fillId="43" borderId="10" xfId="0" applyNumberFormat="1" applyFont="1" applyFill="1" applyBorder="1" applyAlignment="1">
      <alignment horizontal="center" vertical="center" wrapText="1"/>
    </xf>
    <xf numFmtId="1" fontId="56" fillId="37" borderId="10" xfId="0" applyNumberFormat="1" applyFont="1" applyFill="1" applyBorder="1" applyAlignment="1">
      <alignment horizontal="center" vertical="center" wrapText="1"/>
    </xf>
    <xf numFmtId="173" fontId="56" fillId="32" borderId="10" xfId="0" applyNumberFormat="1" applyFont="1" applyFill="1" applyBorder="1" applyAlignment="1">
      <alignment horizontal="center" vertical="center" wrapText="1"/>
    </xf>
    <xf numFmtId="0" fontId="56" fillId="43" borderId="10" xfId="0" applyNumberFormat="1" applyFont="1" applyFill="1" applyBorder="1" applyAlignment="1">
      <alignment horizontal="center" vertical="center" wrapText="1"/>
    </xf>
    <xf numFmtId="1" fontId="56" fillId="44" borderId="10" xfId="0" applyNumberFormat="1" applyFont="1" applyFill="1" applyBorder="1" applyAlignment="1">
      <alignment horizontal="center" vertical="center" wrapText="1"/>
    </xf>
    <xf numFmtId="173" fontId="56" fillId="37" borderId="10" xfId="0" applyNumberFormat="1" applyFont="1" applyFill="1" applyBorder="1" applyAlignment="1">
      <alignment horizontal="center" vertical="center" wrapText="1"/>
    </xf>
    <xf numFmtId="173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172" fontId="56" fillId="37" borderId="10" xfId="53" applyNumberFormat="1" applyFont="1" applyFill="1" applyBorder="1" applyAlignment="1">
      <alignment horizontal="center" vertical="center" wrapText="1"/>
      <protection/>
    </xf>
    <xf numFmtId="1" fontId="56" fillId="37" borderId="10" xfId="0" applyNumberFormat="1" applyFont="1" applyFill="1" applyBorder="1" applyAlignment="1">
      <alignment horizontal="center" vertical="center"/>
    </xf>
    <xf numFmtId="172" fontId="56" fillId="34" borderId="10" xfId="53" applyNumberFormat="1" applyFont="1" applyFill="1" applyBorder="1" applyAlignment="1">
      <alignment horizontal="center" vertical="center" wrapText="1"/>
      <protection/>
    </xf>
    <xf numFmtId="3" fontId="56" fillId="37" borderId="10" xfId="0" applyNumberFormat="1" applyFont="1" applyFill="1" applyBorder="1" applyAlignment="1">
      <alignment horizontal="center" vertical="center"/>
    </xf>
    <xf numFmtId="173" fontId="56" fillId="37" borderId="10" xfId="0" applyNumberFormat="1" applyFont="1" applyFill="1" applyBorder="1" applyAlignment="1">
      <alignment horizontal="center" vertical="center"/>
    </xf>
    <xf numFmtId="172" fontId="56" fillId="37" borderId="10" xfId="0" applyNumberFormat="1" applyFont="1" applyFill="1" applyBorder="1" applyAlignment="1">
      <alignment horizontal="center" vertical="center"/>
    </xf>
    <xf numFmtId="172" fontId="55" fillId="34" borderId="10" xfId="63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center" vertical="center" wrapText="1"/>
    </xf>
    <xf numFmtId="172" fontId="58" fillId="37" borderId="10" xfId="0" applyNumberFormat="1" applyFont="1" applyFill="1" applyBorder="1" applyAlignment="1">
      <alignment horizontal="center" vertical="center"/>
    </xf>
    <xf numFmtId="172" fontId="56" fillId="37" borderId="0" xfId="0" applyNumberFormat="1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56" fillId="37" borderId="0" xfId="0" applyFont="1" applyFill="1" applyAlignment="1">
      <alignment/>
    </xf>
    <xf numFmtId="0" fontId="55" fillId="39" borderId="10" xfId="0" applyFont="1" applyFill="1" applyBorder="1" applyAlignment="1">
      <alignment horizontal="center" vertical="center" wrapText="1"/>
    </xf>
    <xf numFmtId="172" fontId="55" fillId="32" borderId="10" xfId="0" applyNumberFormat="1" applyFont="1" applyFill="1" applyBorder="1" applyAlignment="1">
      <alignment horizontal="center" vertical="center" wrapText="1"/>
    </xf>
    <xf numFmtId="3" fontId="56" fillId="32" borderId="10" xfId="0" applyNumberFormat="1" applyFont="1" applyFill="1" applyBorder="1" applyAlignment="1">
      <alignment horizontal="center" vertical="center" wrapText="1"/>
    </xf>
    <xf numFmtId="174" fontId="55" fillId="32" borderId="10" xfId="63" applyNumberFormat="1" applyFont="1" applyFill="1" applyBorder="1" applyAlignment="1">
      <alignment horizontal="center" vertical="center" wrapText="1"/>
    </xf>
    <xf numFmtId="0" fontId="57" fillId="37" borderId="0" xfId="0" applyFont="1" applyFill="1" applyBorder="1" applyAlignment="1">
      <alignment vertical="center"/>
    </xf>
    <xf numFmtId="0" fontId="56" fillId="43" borderId="10" xfId="0" applyFont="1" applyFill="1" applyBorder="1" applyAlignment="1">
      <alignment horizontal="center" vertical="center" wrapText="1"/>
    </xf>
    <xf numFmtId="172" fontId="54" fillId="32" borderId="10" xfId="0" applyNumberFormat="1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3" fontId="56" fillId="39" borderId="10" xfId="0" applyNumberFormat="1" applyFont="1" applyFill="1" applyBorder="1" applyAlignment="1">
      <alignment horizontal="center" vertical="center" wrapText="1"/>
    </xf>
    <xf numFmtId="1" fontId="56" fillId="39" borderId="10" xfId="0" applyNumberFormat="1" applyFont="1" applyFill="1" applyBorder="1" applyAlignment="1">
      <alignment horizontal="center" vertical="center" wrapText="1"/>
    </xf>
    <xf numFmtId="0" fontId="56" fillId="39" borderId="10" xfId="0" applyNumberFormat="1" applyFont="1" applyFill="1" applyBorder="1" applyAlignment="1">
      <alignment horizontal="center" vertical="center" wrapText="1"/>
    </xf>
    <xf numFmtId="172" fontId="56" fillId="32" borderId="10" xfId="53" applyNumberFormat="1" applyFont="1" applyFill="1" applyBorder="1" applyAlignment="1">
      <alignment horizontal="center" vertical="center" wrapText="1"/>
      <protection/>
    </xf>
    <xf numFmtId="172" fontId="55" fillId="32" borderId="10" xfId="63" applyNumberFormat="1" applyFont="1" applyFill="1" applyBorder="1" applyAlignment="1">
      <alignment horizontal="center" vertical="center" wrapText="1"/>
    </xf>
    <xf numFmtId="0" fontId="56" fillId="32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40" borderId="10" xfId="0" applyNumberFormat="1" applyFont="1" applyFill="1" applyBorder="1" applyAlignment="1">
      <alignment horizontal="center" vertical="center" wrapText="1"/>
    </xf>
    <xf numFmtId="172" fontId="7" fillId="37" borderId="10" xfId="0" applyNumberFormat="1" applyFont="1" applyFill="1" applyBorder="1" applyAlignment="1">
      <alignment horizontal="center" vertical="center" wrapText="1"/>
    </xf>
    <xf numFmtId="172" fontId="7" fillId="41" borderId="10" xfId="0" applyNumberFormat="1" applyFont="1" applyFill="1" applyBorder="1" applyAlignment="1">
      <alignment horizontal="center" vertical="center" wrapText="1"/>
    </xf>
    <xf numFmtId="172" fontId="59" fillId="32" borderId="10" xfId="0" applyNumberFormat="1" applyFont="1" applyFill="1" applyBorder="1" applyAlignment="1">
      <alignment horizontal="center" vertical="center" wrapText="1"/>
    </xf>
    <xf numFmtId="172" fontId="59" fillId="32" borderId="10" xfId="53" applyNumberFormat="1" applyFont="1" applyFill="1" applyBorder="1" applyAlignment="1">
      <alignment horizontal="center" vertical="center" wrapText="1"/>
      <protection/>
    </xf>
    <xf numFmtId="173" fontId="7" fillId="35" borderId="10" xfId="0" applyNumberFormat="1" applyFont="1" applyFill="1" applyBorder="1" applyAlignment="1">
      <alignment horizontal="center" vertical="center" wrapText="1"/>
    </xf>
    <xf numFmtId="173" fontId="2" fillId="37" borderId="10" xfId="0" applyNumberFormat="1" applyFont="1" applyFill="1" applyBorder="1" applyAlignment="1">
      <alignment horizontal="center" vertical="center" wrapText="1"/>
    </xf>
    <xf numFmtId="172" fontId="59" fillId="37" borderId="10" xfId="0" applyNumberFormat="1" applyFont="1" applyFill="1" applyBorder="1" applyAlignment="1">
      <alignment horizontal="center" vertical="center" wrapText="1"/>
    </xf>
    <xf numFmtId="3" fontId="59" fillId="37" borderId="10" xfId="53" applyNumberFormat="1" applyFont="1" applyFill="1" applyBorder="1" applyAlignment="1">
      <alignment horizontal="center" vertical="center" wrapText="1"/>
      <protection/>
    </xf>
    <xf numFmtId="3" fontId="2" fillId="34" borderId="1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3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/>
    </xf>
    <xf numFmtId="174" fontId="7" fillId="37" borderId="10" xfId="63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vertical="center" wrapText="1"/>
    </xf>
    <xf numFmtId="172" fontId="56" fillId="44" borderId="10" xfId="0" applyNumberFormat="1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56" fillId="43" borderId="10" xfId="53" applyNumberFormat="1" applyFont="1" applyFill="1" applyBorder="1" applyAlignment="1">
      <alignment horizontal="center" vertical="center" wrapText="1"/>
      <protection/>
    </xf>
    <xf numFmtId="1" fontId="56" fillId="34" borderId="10" xfId="0" applyNumberFormat="1" applyFont="1" applyFill="1" applyBorder="1" applyAlignment="1">
      <alignment horizontal="center" vertical="center" wrapText="1"/>
    </xf>
    <xf numFmtId="3" fontId="55" fillId="37" borderId="10" xfId="0" applyNumberFormat="1" applyFont="1" applyFill="1" applyBorder="1" applyAlignment="1">
      <alignment horizontal="center" vertical="center" wrapText="1"/>
    </xf>
    <xf numFmtId="3" fontId="55" fillId="37" borderId="10" xfId="53" applyNumberFormat="1" applyFont="1" applyFill="1" applyBorder="1" applyAlignment="1">
      <alignment horizontal="center" vertical="center" wrapText="1"/>
      <protection/>
    </xf>
    <xf numFmtId="1" fontId="55" fillId="37" borderId="10" xfId="0" applyNumberFormat="1" applyFont="1" applyFill="1" applyBorder="1" applyAlignment="1">
      <alignment horizontal="center" vertical="center" wrapText="1"/>
    </xf>
    <xf numFmtId="1" fontId="55" fillId="37" borderId="10" xfId="0" applyNumberFormat="1" applyFont="1" applyFill="1" applyBorder="1" applyAlignment="1">
      <alignment horizontal="center" vertical="center"/>
    </xf>
    <xf numFmtId="3" fontId="55" fillId="34" borderId="10" xfId="0" applyNumberFormat="1" applyFont="1" applyFill="1" applyBorder="1" applyAlignment="1">
      <alignment horizontal="center" vertical="center" wrapText="1"/>
    </xf>
    <xf numFmtId="3" fontId="56" fillId="43" borderId="10" xfId="53" applyNumberFormat="1" applyFont="1" applyFill="1" applyBorder="1" applyAlignment="1">
      <alignment horizontal="center" vertical="center" wrapText="1"/>
      <protection/>
    </xf>
    <xf numFmtId="172" fontId="56" fillId="43" borderId="10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vertical="center"/>
    </xf>
    <xf numFmtId="0" fontId="55" fillId="32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173" fontId="56" fillId="34" borderId="10" xfId="0" applyNumberFormat="1" applyFont="1" applyFill="1" applyBorder="1" applyAlignment="1">
      <alignment horizontal="center" vertical="center" wrapText="1"/>
    </xf>
    <xf numFmtId="1" fontId="56" fillId="32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193" fontId="56" fillId="32" borderId="10" xfId="0" applyNumberFormat="1" applyFont="1" applyFill="1" applyBorder="1" applyAlignment="1">
      <alignment horizontal="center" vertical="center" wrapText="1"/>
    </xf>
    <xf numFmtId="0" fontId="55" fillId="32" borderId="10" xfId="0" applyNumberFormat="1" applyFont="1" applyFill="1" applyBorder="1" applyAlignment="1">
      <alignment horizontal="center" vertical="center" wrapText="1"/>
    </xf>
    <xf numFmtId="3" fontId="56" fillId="34" borderId="10" xfId="53" applyNumberFormat="1" applyFont="1" applyFill="1" applyBorder="1" applyAlignment="1">
      <alignment horizontal="center" vertical="center" wrapText="1"/>
      <protection/>
    </xf>
    <xf numFmtId="173" fontId="55" fillId="34" borderId="10" xfId="0" applyNumberFormat="1" applyFont="1" applyFill="1" applyBorder="1" applyAlignment="1">
      <alignment horizontal="center" vertical="center" wrapText="1"/>
    </xf>
    <xf numFmtId="0" fontId="56" fillId="34" borderId="10" xfId="53" applyFont="1" applyFill="1" applyBorder="1" applyAlignment="1">
      <alignment horizontal="center" vertical="center" wrapText="1"/>
      <protection/>
    </xf>
    <xf numFmtId="3" fontId="55" fillId="34" borderId="10" xfId="53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>
      <alignment horizontal="center" vertical="center"/>
    </xf>
    <xf numFmtId="0" fontId="55" fillId="36" borderId="10" xfId="0" applyNumberFormat="1" applyFont="1" applyFill="1" applyBorder="1" applyAlignment="1">
      <alignment horizontal="center" vertical="center" wrapText="1"/>
    </xf>
    <xf numFmtId="174" fontId="55" fillId="34" borderId="10" xfId="63" applyNumberFormat="1" applyFont="1" applyFill="1" applyBorder="1" applyAlignment="1">
      <alignment horizontal="center" vertical="center"/>
    </xf>
    <xf numFmtId="0" fontId="55" fillId="34" borderId="10" xfId="0" applyNumberFormat="1" applyFont="1" applyFill="1" applyBorder="1" applyAlignment="1">
      <alignment horizontal="center" vertical="center" wrapText="1"/>
    </xf>
    <xf numFmtId="0" fontId="56" fillId="32" borderId="10" xfId="53" applyFont="1" applyFill="1" applyBorder="1" applyAlignment="1">
      <alignment horizontal="center" vertical="center" wrapText="1"/>
      <protection/>
    </xf>
    <xf numFmtId="1" fontId="55" fillId="34" borderId="10" xfId="0" applyNumberFormat="1" applyFont="1" applyFill="1" applyBorder="1" applyAlignment="1">
      <alignment horizontal="center" vertical="center" wrapText="1"/>
    </xf>
    <xf numFmtId="172" fontId="56" fillId="34" borderId="0" xfId="0" applyNumberFormat="1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/>
    </xf>
    <xf numFmtId="0" fontId="56" fillId="34" borderId="0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1" fontId="55" fillId="37" borderId="17" xfId="0" applyNumberFormat="1" applyFont="1" applyFill="1" applyBorder="1" applyAlignment="1">
      <alignment horizontal="center" vertical="center" wrapText="1"/>
    </xf>
    <xf numFmtId="1" fontId="55" fillId="37" borderId="18" xfId="0" applyNumberFormat="1" applyFont="1" applyFill="1" applyBorder="1" applyAlignment="1">
      <alignment horizontal="center" vertical="center" wrapText="1"/>
    </xf>
    <xf numFmtId="1" fontId="55" fillId="37" borderId="11" xfId="0" applyNumberFormat="1" applyFont="1" applyFill="1" applyBorder="1" applyAlignment="1">
      <alignment horizontal="center" vertical="center" wrapText="1"/>
    </xf>
    <xf numFmtId="1" fontId="55" fillId="37" borderId="19" xfId="0" applyNumberFormat="1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1" fontId="55" fillId="37" borderId="20" xfId="0" applyNumberFormat="1" applyFont="1" applyFill="1" applyBorder="1" applyAlignment="1">
      <alignment horizontal="center" vertical="center" wrapText="1"/>
    </xf>
    <xf numFmtId="1" fontId="55" fillId="37" borderId="2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center"/>
    </xf>
    <xf numFmtId="1" fontId="7" fillId="32" borderId="17" xfId="0" applyNumberFormat="1" applyFont="1" applyFill="1" applyBorder="1" applyAlignment="1">
      <alignment horizontal="center" vertical="center" wrapText="1"/>
    </xf>
    <xf numFmtId="1" fontId="7" fillId="32" borderId="18" xfId="0" applyNumberFormat="1" applyFont="1" applyFill="1" applyBorder="1" applyAlignment="1">
      <alignment horizontal="center" vertical="center" wrapText="1"/>
    </xf>
    <xf numFmtId="1" fontId="7" fillId="37" borderId="17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1" fontId="7" fillId="32" borderId="22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 vertical="center" textRotation="90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по сессиям План реализации РО по учреждениям бюджет 2016-18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921"/>
  <sheetViews>
    <sheetView tabSelected="1" zoomScale="80" zoomScaleNormal="80" zoomScaleSheetLayoutView="100" zoomScalePageLayoutView="20" workbookViewId="0" topLeftCell="A1">
      <selection activeCell="T370" sqref="T370:U370"/>
    </sheetView>
  </sheetViews>
  <sheetFormatPr defaultColWidth="9.33203125" defaultRowHeight="12.75"/>
  <cols>
    <col min="1" max="2" width="4.33203125" style="32" customWidth="1"/>
    <col min="3" max="6" width="4.5" style="32" customWidth="1"/>
    <col min="7" max="7" width="6.33203125" style="32" customWidth="1"/>
    <col min="8" max="8" width="48.16015625" style="32" customWidth="1"/>
    <col min="9" max="12" width="16.33203125" style="32" customWidth="1"/>
    <col min="13" max="13" width="18" style="186" customWidth="1"/>
    <col min="14" max="14" width="15.66015625" style="257" hidden="1" customWidth="1"/>
    <col min="15" max="15" width="15.66015625" style="257" customWidth="1"/>
    <col min="16" max="16" width="15.33203125" style="257" hidden="1" customWidth="1"/>
    <col min="17" max="17" width="15.33203125" style="257" customWidth="1"/>
    <col min="18" max="18" width="15.33203125" style="257" hidden="1" customWidth="1"/>
    <col min="19" max="21" width="15.33203125" style="257" customWidth="1"/>
    <col min="22" max="22" width="15" style="327" customWidth="1"/>
    <col min="23" max="23" width="14.66015625" style="330" customWidth="1"/>
    <col min="24" max="25" width="14.16015625" style="31" hidden="1" customWidth="1"/>
    <col min="26" max="26" width="15.33203125" style="31" hidden="1" customWidth="1"/>
    <col min="27" max="27" width="9.33203125" style="31" customWidth="1"/>
    <col min="28" max="28" width="9.33203125" style="32" customWidth="1"/>
    <col min="29" max="29" width="14.33203125" style="32" customWidth="1"/>
    <col min="30" max="30" width="14.83203125" style="32" customWidth="1"/>
    <col min="31" max="31" width="14.16015625" style="32" customWidth="1"/>
    <col min="32" max="32" width="12.33203125" style="32" customWidth="1"/>
    <col min="33" max="16384" width="9.33203125" style="32" customWidth="1"/>
  </cols>
  <sheetData>
    <row r="1" spans="1:23" ht="45" customHeight="1">
      <c r="A1" s="26"/>
      <c r="B1" s="26"/>
      <c r="C1" s="26"/>
      <c r="D1" s="26"/>
      <c r="E1" s="26"/>
      <c r="F1" s="26"/>
      <c r="G1" s="27"/>
      <c r="H1" s="28"/>
      <c r="I1" s="29"/>
      <c r="J1" s="289"/>
      <c r="K1" s="30"/>
      <c r="L1" s="30"/>
      <c r="M1" s="347" t="s">
        <v>427</v>
      </c>
      <c r="N1" s="347"/>
      <c r="O1" s="347"/>
      <c r="P1" s="347"/>
      <c r="Q1" s="347"/>
      <c r="R1" s="347"/>
      <c r="S1" s="347"/>
      <c r="T1" s="347"/>
      <c r="U1" s="347"/>
      <c r="V1" s="347"/>
      <c r="W1" s="347"/>
    </row>
    <row r="2" spans="1:23" ht="38.25" customHeight="1">
      <c r="A2" s="348" t="s">
        <v>426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1:23" ht="15.75">
      <c r="A3" s="33" t="s">
        <v>390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87"/>
      <c r="N3" s="233"/>
      <c r="O3" s="233"/>
      <c r="P3" s="262"/>
      <c r="Q3" s="262"/>
      <c r="R3" s="262"/>
      <c r="S3" s="262"/>
      <c r="T3" s="262"/>
      <c r="U3" s="262"/>
      <c r="V3" s="302"/>
      <c r="W3" s="302"/>
    </row>
    <row r="4" spans="1:23" ht="42" customHeight="1">
      <c r="A4" s="349" t="s">
        <v>261</v>
      </c>
      <c r="B4" s="350"/>
      <c r="C4" s="350"/>
      <c r="D4" s="350"/>
      <c r="E4" s="350"/>
      <c r="F4" s="351"/>
      <c r="G4" s="355" t="s">
        <v>262</v>
      </c>
      <c r="H4" s="346" t="s">
        <v>263</v>
      </c>
      <c r="I4" s="345" t="s">
        <v>264</v>
      </c>
      <c r="J4" s="358" t="s">
        <v>231</v>
      </c>
      <c r="K4" s="358"/>
      <c r="L4" s="358"/>
      <c r="M4" s="358"/>
      <c r="N4" s="358"/>
      <c r="O4" s="358"/>
      <c r="P4" s="358"/>
      <c r="Q4" s="358"/>
      <c r="R4" s="265"/>
      <c r="S4" s="265"/>
      <c r="T4" s="265"/>
      <c r="U4" s="265"/>
      <c r="V4" s="361"/>
      <c r="W4" s="362"/>
    </row>
    <row r="5" spans="1:23" ht="11.25" customHeight="1">
      <c r="A5" s="352"/>
      <c r="B5" s="353"/>
      <c r="C5" s="353"/>
      <c r="D5" s="353"/>
      <c r="E5" s="353"/>
      <c r="F5" s="354"/>
      <c r="G5" s="356"/>
      <c r="H5" s="357"/>
      <c r="I5" s="345"/>
      <c r="J5" s="340">
        <v>2016</v>
      </c>
      <c r="K5" s="340">
        <v>2017</v>
      </c>
      <c r="L5" s="340">
        <v>2018</v>
      </c>
      <c r="M5" s="342">
        <v>2019</v>
      </c>
      <c r="N5" s="331" t="s">
        <v>423</v>
      </c>
      <c r="O5" s="331">
        <v>2020</v>
      </c>
      <c r="P5" s="337" t="s">
        <v>424</v>
      </c>
      <c r="Q5" s="337">
        <v>2021</v>
      </c>
      <c r="R5" s="333" t="s">
        <v>425</v>
      </c>
      <c r="S5" s="333">
        <v>2022</v>
      </c>
      <c r="T5" s="333">
        <v>2023</v>
      </c>
      <c r="U5" s="333">
        <v>2024</v>
      </c>
      <c r="V5" s="335" t="s">
        <v>194</v>
      </c>
      <c r="W5" s="335" t="s">
        <v>265</v>
      </c>
    </row>
    <row r="6" spans="1:25" ht="129.75">
      <c r="A6" s="34" t="s">
        <v>266</v>
      </c>
      <c r="B6" s="35" t="s">
        <v>267</v>
      </c>
      <c r="C6" s="35" t="s">
        <v>268</v>
      </c>
      <c r="D6" s="35" t="s">
        <v>269</v>
      </c>
      <c r="E6" s="359" t="s">
        <v>270</v>
      </c>
      <c r="F6" s="360"/>
      <c r="G6" s="356"/>
      <c r="H6" s="357"/>
      <c r="I6" s="346"/>
      <c r="J6" s="344"/>
      <c r="K6" s="344"/>
      <c r="L6" s="341"/>
      <c r="M6" s="343"/>
      <c r="N6" s="332"/>
      <c r="O6" s="332"/>
      <c r="P6" s="338"/>
      <c r="Q6" s="338"/>
      <c r="R6" s="334"/>
      <c r="S6" s="334"/>
      <c r="T6" s="334"/>
      <c r="U6" s="334"/>
      <c r="V6" s="336"/>
      <c r="W6" s="336"/>
      <c r="X6" s="153" t="s">
        <v>389</v>
      </c>
      <c r="Y6" s="173">
        <v>2021</v>
      </c>
    </row>
    <row r="7" spans="1:41" ht="12.75">
      <c r="A7" s="36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3">
        <v>10</v>
      </c>
      <c r="K7" s="3">
        <v>11</v>
      </c>
      <c r="L7" s="3">
        <v>12</v>
      </c>
      <c r="M7" s="154">
        <v>13</v>
      </c>
      <c r="N7" s="205">
        <v>14</v>
      </c>
      <c r="O7" s="205">
        <v>14</v>
      </c>
      <c r="P7" s="205">
        <v>15</v>
      </c>
      <c r="Q7" s="205">
        <v>15</v>
      </c>
      <c r="R7" s="258">
        <v>16</v>
      </c>
      <c r="S7" s="258">
        <v>16</v>
      </c>
      <c r="T7" s="258">
        <v>17</v>
      </c>
      <c r="U7" s="258">
        <v>18</v>
      </c>
      <c r="V7" s="303">
        <v>19</v>
      </c>
      <c r="W7" s="303">
        <v>20</v>
      </c>
      <c r="X7" s="37"/>
      <c r="Y7" s="37"/>
      <c r="Z7" s="37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25.5">
      <c r="A8" s="38" t="s">
        <v>272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/>
      <c r="H8" s="292" t="s">
        <v>428</v>
      </c>
      <c r="I8" s="2" t="s">
        <v>273</v>
      </c>
      <c r="J8" s="4">
        <f aca="true" t="shared" si="0" ref="J8:U8">J9+J10+J11</f>
        <v>3145107.8</v>
      </c>
      <c r="K8" s="228">
        <f t="shared" si="0"/>
        <v>3319816.2</v>
      </c>
      <c r="L8" s="4">
        <f t="shared" si="0"/>
        <v>3845529.9</v>
      </c>
      <c r="M8" s="206">
        <f t="shared" si="0"/>
        <v>4423739</v>
      </c>
      <c r="N8" s="206">
        <f t="shared" si="0"/>
        <v>4239039.6</v>
      </c>
      <c r="O8" s="206">
        <f t="shared" si="0"/>
        <v>4358902.4</v>
      </c>
      <c r="P8" s="206">
        <f t="shared" si="0"/>
        <v>4380898.3</v>
      </c>
      <c r="Q8" s="206">
        <f t="shared" si="0"/>
        <v>4539912.4</v>
      </c>
      <c r="R8" s="206">
        <f t="shared" si="0"/>
        <v>4441218.3</v>
      </c>
      <c r="S8" s="206">
        <f t="shared" si="0"/>
        <v>4797397.1</v>
      </c>
      <c r="T8" s="206">
        <f t="shared" si="0"/>
        <v>4443908.5</v>
      </c>
      <c r="U8" s="206">
        <f t="shared" si="0"/>
        <v>4442673.9</v>
      </c>
      <c r="V8" s="228">
        <f>J8+K8+L8+M8+O8+Q8+S8+T8+U8</f>
        <v>37316987.2</v>
      </c>
      <c r="W8" s="304">
        <v>2024</v>
      </c>
      <c r="X8" s="40">
        <f>O8-N8</f>
        <v>119862.8</v>
      </c>
      <c r="Y8" s="40">
        <f>Q8-P8</f>
        <v>159014.1</v>
      </c>
      <c r="Z8" s="40">
        <f>S8-R8</f>
        <v>356178.8</v>
      </c>
      <c r="AA8" s="40"/>
      <c r="AB8" s="40"/>
      <c r="AC8" s="40"/>
      <c r="AD8" s="40"/>
      <c r="AE8" s="4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6" t="s">
        <v>272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3</v>
      </c>
      <c r="H9" s="42" t="s">
        <v>274</v>
      </c>
      <c r="I9" s="12" t="s">
        <v>273</v>
      </c>
      <c r="J9" s="19">
        <f aca="true" t="shared" si="1" ref="J9:U9">J22+J236+J332+J418+J446+J513</f>
        <v>1105715.3</v>
      </c>
      <c r="K9" s="259">
        <f>K22+K236+K332+K418+K446+K513</f>
        <v>1215699.3</v>
      </c>
      <c r="L9" s="259">
        <f>L22+L236+L332+L418+L446+L513</f>
        <v>1390742.1</v>
      </c>
      <c r="M9" s="259">
        <f>M22+M236+M332+M418+M446+M513</f>
        <v>1740753.8</v>
      </c>
      <c r="N9" s="209">
        <f>N22+N236+N332+N418+N446+N513</f>
        <v>1607794</v>
      </c>
      <c r="O9" s="209">
        <f t="shared" si="1"/>
        <v>1628497.3</v>
      </c>
      <c r="P9" s="209">
        <f>P22+P236+P332+P418+P446+P513</f>
        <v>1564980</v>
      </c>
      <c r="Q9" s="209">
        <f t="shared" si="1"/>
        <v>1564980</v>
      </c>
      <c r="R9" s="209">
        <f>R22+R236+R332+R418+R446+R513</f>
        <v>1625300</v>
      </c>
      <c r="S9" s="209">
        <f t="shared" si="1"/>
        <v>1625300</v>
      </c>
      <c r="T9" s="209">
        <f t="shared" si="1"/>
        <v>1627990.2</v>
      </c>
      <c r="U9" s="209">
        <f t="shared" si="1"/>
        <v>1626755.6</v>
      </c>
      <c r="V9" s="217">
        <f>J9+K9+L9+M9+O9+Q9+S9+T9+U9</f>
        <v>13526433.6</v>
      </c>
      <c r="W9" s="303">
        <v>2024</v>
      </c>
      <c r="X9" s="40">
        <f aca="true" t="shared" si="2" ref="X9:X72">O9-N9</f>
        <v>20703.3</v>
      </c>
      <c r="Y9" s="40">
        <f aca="true" t="shared" si="3" ref="Y9:Y72">Q9-P9</f>
        <v>0</v>
      </c>
      <c r="Z9" s="40">
        <f>S9-R9</f>
        <v>0</v>
      </c>
      <c r="AB9" s="31"/>
      <c r="AC9" s="41"/>
      <c r="AD9" s="41"/>
      <c r="AE9" s="4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43" t="s">
        <v>272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2</v>
      </c>
      <c r="H10" s="44" t="s">
        <v>275</v>
      </c>
      <c r="I10" s="3" t="s">
        <v>273</v>
      </c>
      <c r="J10" s="19">
        <f>J23+J237+J333+J419+J447</f>
        <v>2034080</v>
      </c>
      <c r="K10" s="259">
        <f>K23+K237+K333+K419+K447</f>
        <v>2101798.1</v>
      </c>
      <c r="L10" s="259">
        <f>L23+L237+L333+L419+L447+L514</f>
        <v>2454787.8</v>
      </c>
      <c r="M10" s="259">
        <f>M23+M237+M333+M419+M447</f>
        <v>2681520</v>
      </c>
      <c r="N10" s="209">
        <f>N23+N237+N333+N419+N447+N514</f>
        <v>2631245.6</v>
      </c>
      <c r="O10" s="209">
        <f aca="true" t="shared" si="4" ref="O10:U10">O23+O237+O333+O419+O447+O514</f>
        <v>2730405.1</v>
      </c>
      <c r="P10" s="209">
        <f>P23+P237+P333+P419+P447+P514</f>
        <v>2815918.3</v>
      </c>
      <c r="Q10" s="209">
        <f t="shared" si="4"/>
        <v>2974932.4</v>
      </c>
      <c r="R10" s="209">
        <f>R23+R237+R333+R419+R447+R514</f>
        <v>2815918.3</v>
      </c>
      <c r="S10" s="209">
        <f t="shared" si="4"/>
        <v>3172097.1</v>
      </c>
      <c r="T10" s="209">
        <f t="shared" si="4"/>
        <v>2815918.3</v>
      </c>
      <c r="U10" s="209">
        <f t="shared" si="4"/>
        <v>2815918.3</v>
      </c>
      <c r="V10" s="217">
        <f>J10+K10+L10+M10+O10+Q10+S10+T10+U10</f>
        <v>23781457.1</v>
      </c>
      <c r="W10" s="303">
        <v>2024</v>
      </c>
      <c r="X10" s="40">
        <f t="shared" si="2"/>
        <v>99159.5</v>
      </c>
      <c r="Y10" s="40">
        <f t="shared" si="3"/>
        <v>159014.1</v>
      </c>
      <c r="Z10" s="40">
        <f aca="true" t="shared" si="5" ref="Z10:Z72">S10-R10</f>
        <v>356178.8</v>
      </c>
      <c r="AB10" s="31"/>
      <c r="AC10" s="41"/>
      <c r="AD10" s="41"/>
      <c r="AE10" s="4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43" t="s">
        <v>272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44" t="s">
        <v>276</v>
      </c>
      <c r="I11" s="3" t="s">
        <v>273</v>
      </c>
      <c r="J11" s="19">
        <f>J238+J420</f>
        <v>5312.5</v>
      </c>
      <c r="K11" s="259">
        <f>K238+K420</f>
        <v>2318.8</v>
      </c>
      <c r="L11" s="259">
        <f>L238+L420</f>
        <v>0</v>
      </c>
      <c r="M11" s="259">
        <f>M238+M420</f>
        <v>1465.2</v>
      </c>
      <c r="N11" s="209">
        <f>N420</f>
        <v>0</v>
      </c>
      <c r="O11" s="209">
        <f aca="true" t="shared" si="6" ref="O11:U11">O420</f>
        <v>0</v>
      </c>
      <c r="P11" s="209">
        <f>P420</f>
        <v>0</v>
      </c>
      <c r="Q11" s="209">
        <f t="shared" si="6"/>
        <v>0</v>
      </c>
      <c r="R11" s="209">
        <f>R420</f>
        <v>0</v>
      </c>
      <c r="S11" s="209">
        <f t="shared" si="6"/>
        <v>0</v>
      </c>
      <c r="T11" s="209">
        <f t="shared" si="6"/>
        <v>0</v>
      </c>
      <c r="U11" s="209">
        <f t="shared" si="6"/>
        <v>0</v>
      </c>
      <c r="V11" s="217">
        <f>J11+K11+L11+M11+O11+Q11+S11+T11+U11</f>
        <v>9096.5</v>
      </c>
      <c r="W11" s="303">
        <v>2019</v>
      </c>
      <c r="X11" s="40">
        <f t="shared" si="2"/>
        <v>0</v>
      </c>
      <c r="Y11" s="40">
        <f t="shared" si="3"/>
        <v>0</v>
      </c>
      <c r="Z11" s="40">
        <f t="shared" si="5"/>
        <v>0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51">
      <c r="A12" s="43" t="s">
        <v>272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21"/>
      <c r="H12" s="45" t="s">
        <v>167</v>
      </c>
      <c r="I12" s="21"/>
      <c r="J12" s="21" t="s">
        <v>271</v>
      </c>
      <c r="K12" s="21"/>
      <c r="L12" s="21"/>
      <c r="M12" s="188"/>
      <c r="N12" s="234"/>
      <c r="O12" s="234"/>
      <c r="P12" s="234"/>
      <c r="Q12" s="234"/>
      <c r="R12" s="266"/>
      <c r="S12" s="266"/>
      <c r="T12" s="266"/>
      <c r="U12" s="266"/>
      <c r="V12" s="305"/>
      <c r="W12" s="305" t="s">
        <v>271</v>
      </c>
      <c r="X12" s="40">
        <f t="shared" si="2"/>
        <v>0</v>
      </c>
      <c r="Y12" s="40">
        <f t="shared" si="3"/>
        <v>0</v>
      </c>
      <c r="Z12" s="40">
        <f t="shared" si="5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8.25">
      <c r="A13" s="43" t="s">
        <v>272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21"/>
      <c r="H13" s="46" t="s">
        <v>277</v>
      </c>
      <c r="I13" s="21" t="s">
        <v>278</v>
      </c>
      <c r="J13" s="25">
        <v>100</v>
      </c>
      <c r="K13" s="25">
        <v>100</v>
      </c>
      <c r="L13" s="25">
        <v>100</v>
      </c>
      <c r="M13" s="156">
        <v>100</v>
      </c>
      <c r="N13" s="210">
        <v>100</v>
      </c>
      <c r="O13" s="210">
        <v>100</v>
      </c>
      <c r="P13" s="210">
        <v>100</v>
      </c>
      <c r="Q13" s="210">
        <v>100</v>
      </c>
      <c r="R13" s="207">
        <v>100</v>
      </c>
      <c r="S13" s="207">
        <v>100</v>
      </c>
      <c r="T13" s="207">
        <v>100</v>
      </c>
      <c r="U13" s="207">
        <v>100</v>
      </c>
      <c r="V13" s="222">
        <v>100</v>
      </c>
      <c r="W13" s="305">
        <v>2024</v>
      </c>
      <c r="X13" s="40">
        <f t="shared" si="2"/>
        <v>0</v>
      </c>
      <c r="Y13" s="40">
        <f t="shared" si="3"/>
        <v>0</v>
      </c>
      <c r="Z13" s="40">
        <f t="shared" si="5"/>
        <v>0</v>
      </c>
      <c r="AB13" s="31"/>
      <c r="AC13" s="41"/>
      <c r="AD13" s="41"/>
      <c r="AE13" s="4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38.25">
      <c r="A14" s="43" t="s">
        <v>272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21"/>
      <c r="H14" s="46" t="s">
        <v>279</v>
      </c>
      <c r="I14" s="21" t="s">
        <v>278</v>
      </c>
      <c r="J14" s="21">
        <v>93.6</v>
      </c>
      <c r="K14" s="21">
        <v>96.6</v>
      </c>
      <c r="L14" s="25">
        <v>99.1</v>
      </c>
      <c r="M14" s="141">
        <v>99.9</v>
      </c>
      <c r="N14" s="235">
        <v>99.5</v>
      </c>
      <c r="O14" s="210">
        <v>99.5</v>
      </c>
      <c r="P14" s="263">
        <v>99.6</v>
      </c>
      <c r="Q14" s="234">
        <v>99.6</v>
      </c>
      <c r="R14" s="263">
        <v>99.7</v>
      </c>
      <c r="S14" s="234">
        <v>99.7</v>
      </c>
      <c r="T14" s="234">
        <v>99.8</v>
      </c>
      <c r="U14" s="234">
        <v>99.8</v>
      </c>
      <c r="V14" s="221">
        <v>99.8</v>
      </c>
      <c r="W14" s="305">
        <v>2024</v>
      </c>
      <c r="X14" s="40">
        <f t="shared" si="2"/>
        <v>0</v>
      </c>
      <c r="Y14" s="40">
        <f t="shared" si="3"/>
        <v>0</v>
      </c>
      <c r="Z14" s="40">
        <f t="shared" si="5"/>
        <v>0</v>
      </c>
      <c r="AB14" s="31"/>
      <c r="AC14" s="41"/>
      <c r="AD14" s="41"/>
      <c r="AE14" s="4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63.75">
      <c r="A15" s="43" t="s">
        <v>272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21"/>
      <c r="H15" s="46" t="s">
        <v>289</v>
      </c>
      <c r="I15" s="21" t="s">
        <v>278</v>
      </c>
      <c r="J15" s="25">
        <v>65</v>
      </c>
      <c r="K15" s="25">
        <v>68.6</v>
      </c>
      <c r="L15" s="25">
        <v>70</v>
      </c>
      <c r="M15" s="156">
        <v>72</v>
      </c>
      <c r="N15" s="235">
        <v>77</v>
      </c>
      <c r="O15" s="210">
        <v>77</v>
      </c>
      <c r="P15" s="235">
        <v>77.5</v>
      </c>
      <c r="Q15" s="210">
        <v>77.5</v>
      </c>
      <c r="R15" s="235">
        <v>78</v>
      </c>
      <c r="S15" s="210">
        <v>78</v>
      </c>
      <c r="T15" s="210">
        <v>79</v>
      </c>
      <c r="U15" s="210">
        <v>80</v>
      </c>
      <c r="V15" s="221">
        <v>80</v>
      </c>
      <c r="W15" s="305">
        <v>2024</v>
      </c>
      <c r="X15" s="40">
        <f t="shared" si="2"/>
        <v>0</v>
      </c>
      <c r="Y15" s="40">
        <f t="shared" si="3"/>
        <v>0</v>
      </c>
      <c r="Z15" s="40">
        <f t="shared" si="5"/>
        <v>0</v>
      </c>
      <c r="AB15" s="31"/>
      <c r="AC15" s="41"/>
      <c r="AD15" s="41"/>
      <c r="AE15" s="4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63.75">
      <c r="A16" s="43" t="s">
        <v>272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21"/>
      <c r="H16" s="46" t="s">
        <v>290</v>
      </c>
      <c r="I16" s="21" t="s">
        <v>278</v>
      </c>
      <c r="J16" s="25">
        <v>95</v>
      </c>
      <c r="K16" s="25">
        <v>96</v>
      </c>
      <c r="L16" s="25">
        <v>97</v>
      </c>
      <c r="M16" s="156">
        <v>97</v>
      </c>
      <c r="N16" s="235">
        <v>97</v>
      </c>
      <c r="O16" s="210">
        <v>97</v>
      </c>
      <c r="P16" s="235">
        <v>97.1</v>
      </c>
      <c r="Q16" s="210">
        <v>97.1</v>
      </c>
      <c r="R16" s="235">
        <v>97.2</v>
      </c>
      <c r="S16" s="210">
        <v>97.2</v>
      </c>
      <c r="T16" s="210">
        <v>97.2</v>
      </c>
      <c r="U16" s="210">
        <v>97.2</v>
      </c>
      <c r="V16" s="210">
        <v>97.2</v>
      </c>
      <c r="W16" s="305">
        <v>2024</v>
      </c>
      <c r="X16" s="40">
        <f t="shared" si="2"/>
        <v>0</v>
      </c>
      <c r="Y16" s="40">
        <f t="shared" si="3"/>
        <v>0</v>
      </c>
      <c r="Z16" s="40">
        <f t="shared" si="5"/>
        <v>0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89.25">
      <c r="A17" s="43" t="s">
        <v>272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21"/>
      <c r="H17" s="46" t="s">
        <v>69</v>
      </c>
      <c r="I17" s="21" t="s">
        <v>278</v>
      </c>
      <c r="J17" s="6">
        <v>31</v>
      </c>
      <c r="K17" s="6">
        <v>32.1</v>
      </c>
      <c r="L17" s="6">
        <v>28.4</v>
      </c>
      <c r="M17" s="159">
        <v>28.8</v>
      </c>
      <c r="N17" s="236">
        <v>29.7</v>
      </c>
      <c r="O17" s="242">
        <v>29.7</v>
      </c>
      <c r="P17" s="236">
        <v>29.7</v>
      </c>
      <c r="Q17" s="242">
        <v>29.7</v>
      </c>
      <c r="R17" s="236">
        <v>29.7</v>
      </c>
      <c r="S17" s="242">
        <v>29.7</v>
      </c>
      <c r="T17" s="242">
        <v>29.7</v>
      </c>
      <c r="U17" s="242">
        <v>29.7</v>
      </c>
      <c r="V17" s="242">
        <v>28.4</v>
      </c>
      <c r="W17" s="305">
        <v>2024</v>
      </c>
      <c r="X17" s="40">
        <f t="shared" si="2"/>
        <v>0</v>
      </c>
      <c r="Y17" s="40">
        <f t="shared" si="3"/>
        <v>0</v>
      </c>
      <c r="Z17" s="40">
        <f t="shared" si="5"/>
        <v>0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30" ht="102">
      <c r="A18" s="43" t="s">
        <v>272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21"/>
      <c r="H18" s="46" t="s">
        <v>291</v>
      </c>
      <c r="I18" s="21" t="s">
        <v>278</v>
      </c>
      <c r="J18" s="25">
        <v>99</v>
      </c>
      <c r="K18" s="25">
        <v>99</v>
      </c>
      <c r="L18" s="25">
        <v>100</v>
      </c>
      <c r="M18" s="156">
        <v>100</v>
      </c>
      <c r="N18" s="210">
        <v>100</v>
      </c>
      <c r="O18" s="210">
        <v>100</v>
      </c>
      <c r="P18" s="210">
        <v>100</v>
      </c>
      <c r="Q18" s="210">
        <v>100</v>
      </c>
      <c r="R18" s="207">
        <v>100</v>
      </c>
      <c r="S18" s="207">
        <v>100</v>
      </c>
      <c r="T18" s="207">
        <v>100</v>
      </c>
      <c r="U18" s="207">
        <v>100</v>
      </c>
      <c r="V18" s="207">
        <v>100</v>
      </c>
      <c r="W18" s="305">
        <v>2024</v>
      </c>
      <c r="X18" s="40">
        <f t="shared" si="2"/>
        <v>0</v>
      </c>
      <c r="Y18" s="40">
        <f t="shared" si="3"/>
        <v>0</v>
      </c>
      <c r="Z18" s="40">
        <f t="shared" si="5"/>
        <v>0</v>
      </c>
      <c r="AD18" s="47"/>
    </row>
    <row r="19" spans="1:26" ht="63.75">
      <c r="A19" s="43" t="s">
        <v>272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21"/>
      <c r="H19" s="46" t="s">
        <v>292</v>
      </c>
      <c r="I19" s="21" t="s">
        <v>278</v>
      </c>
      <c r="J19" s="25">
        <v>100</v>
      </c>
      <c r="K19" s="25">
        <v>100</v>
      </c>
      <c r="L19" s="25">
        <v>100</v>
      </c>
      <c r="M19" s="156">
        <v>100</v>
      </c>
      <c r="N19" s="210">
        <v>100</v>
      </c>
      <c r="O19" s="210">
        <v>100</v>
      </c>
      <c r="P19" s="210">
        <v>100</v>
      </c>
      <c r="Q19" s="210">
        <v>100</v>
      </c>
      <c r="R19" s="207">
        <v>100</v>
      </c>
      <c r="S19" s="207">
        <v>100</v>
      </c>
      <c r="T19" s="207">
        <v>100</v>
      </c>
      <c r="U19" s="207">
        <v>100</v>
      </c>
      <c r="V19" s="222">
        <f>(J19+K19+L19+M19+O19+Q19+S19+T19+U19)/9</f>
        <v>100</v>
      </c>
      <c r="W19" s="305">
        <v>2024</v>
      </c>
      <c r="X19" s="40">
        <f t="shared" si="2"/>
        <v>0</v>
      </c>
      <c r="Y19" s="40">
        <f t="shared" si="3"/>
        <v>0</v>
      </c>
      <c r="Z19" s="40">
        <f t="shared" si="5"/>
        <v>0</v>
      </c>
    </row>
    <row r="20" spans="1:26" ht="51">
      <c r="A20" s="43" t="s">
        <v>272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21"/>
      <c r="H20" s="46" t="s">
        <v>280</v>
      </c>
      <c r="I20" s="21" t="s">
        <v>278</v>
      </c>
      <c r="J20" s="25">
        <v>0</v>
      </c>
      <c r="K20" s="25">
        <v>0</v>
      </c>
      <c r="L20" s="25">
        <v>0</v>
      </c>
      <c r="M20" s="156">
        <v>58.4</v>
      </c>
      <c r="N20" s="235">
        <v>63.3</v>
      </c>
      <c r="O20" s="210">
        <v>63.3</v>
      </c>
      <c r="P20" s="235">
        <v>63.5</v>
      </c>
      <c r="Q20" s="210">
        <v>63.5</v>
      </c>
      <c r="R20" s="235">
        <v>63.7</v>
      </c>
      <c r="S20" s="210">
        <v>63.7</v>
      </c>
      <c r="T20" s="210">
        <v>63.9</v>
      </c>
      <c r="U20" s="210">
        <v>64.3</v>
      </c>
      <c r="V20" s="222">
        <v>64.3</v>
      </c>
      <c r="W20" s="305">
        <v>2024</v>
      </c>
      <c r="X20" s="40">
        <f t="shared" si="2"/>
        <v>0</v>
      </c>
      <c r="Y20" s="40">
        <f t="shared" si="3"/>
        <v>0</v>
      </c>
      <c r="Z20" s="40">
        <f t="shared" si="5"/>
        <v>0</v>
      </c>
    </row>
    <row r="21" spans="1:26" ht="38.25">
      <c r="A21" s="38" t="s">
        <v>272</v>
      </c>
      <c r="B21" s="2">
        <v>1</v>
      </c>
      <c r="C21" s="2">
        <v>1</v>
      </c>
      <c r="D21" s="2">
        <v>0</v>
      </c>
      <c r="E21" s="2">
        <v>0</v>
      </c>
      <c r="F21" s="2">
        <v>0</v>
      </c>
      <c r="G21" s="2"/>
      <c r="H21" s="39" t="s">
        <v>77</v>
      </c>
      <c r="I21" s="2" t="s">
        <v>273</v>
      </c>
      <c r="J21" s="4">
        <f aca="true" t="shared" si="7" ref="J21:U21">J22+J23</f>
        <v>2891748.5</v>
      </c>
      <c r="K21" s="4">
        <f t="shared" si="7"/>
        <v>2985052</v>
      </c>
      <c r="L21" s="4">
        <f t="shared" si="7"/>
        <v>3449946.6</v>
      </c>
      <c r="M21" s="155">
        <f t="shared" si="7"/>
        <v>3913317.2</v>
      </c>
      <c r="N21" s="206">
        <f t="shared" si="7"/>
        <v>3905165.3</v>
      </c>
      <c r="O21" s="206">
        <f t="shared" si="7"/>
        <v>3991056.1</v>
      </c>
      <c r="P21" s="206">
        <f t="shared" si="7"/>
        <v>4069275.8</v>
      </c>
      <c r="Q21" s="206">
        <f t="shared" si="7"/>
        <v>4228032.2</v>
      </c>
      <c r="R21" s="206">
        <f t="shared" si="7"/>
        <v>4129342.9</v>
      </c>
      <c r="S21" s="206">
        <f t="shared" si="7"/>
        <v>4485216.6</v>
      </c>
      <c r="T21" s="206">
        <f t="shared" si="7"/>
        <v>4129342.8</v>
      </c>
      <c r="U21" s="206">
        <f t="shared" si="7"/>
        <v>4129342.8</v>
      </c>
      <c r="V21" s="228">
        <f aca="true" t="shared" si="8" ref="V21:V26">J21+K21+L21+M21+O21+Q21+S21+T21+U21</f>
        <v>34203054.8</v>
      </c>
      <c r="W21" s="304">
        <v>2024</v>
      </c>
      <c r="X21" s="40">
        <f t="shared" si="2"/>
        <v>85890.8</v>
      </c>
      <c r="Y21" s="40">
        <f t="shared" si="3"/>
        <v>158756.4</v>
      </c>
      <c r="Z21" s="40">
        <f t="shared" si="5"/>
        <v>355873.7</v>
      </c>
    </row>
    <row r="22" spans="1:26" ht="12.75">
      <c r="A22" s="36" t="s">
        <v>272</v>
      </c>
      <c r="B22" s="12">
        <v>1</v>
      </c>
      <c r="C22" s="12">
        <v>1</v>
      </c>
      <c r="D22" s="12">
        <v>0</v>
      </c>
      <c r="E22" s="12">
        <v>0</v>
      </c>
      <c r="F22" s="12">
        <v>0</v>
      </c>
      <c r="G22" s="12">
        <v>3</v>
      </c>
      <c r="H22" s="42" t="s">
        <v>274</v>
      </c>
      <c r="I22" s="14" t="s">
        <v>273</v>
      </c>
      <c r="J22" s="25">
        <f aca="true" t="shared" si="9" ref="J22:U22">J25+J65+J94+J120+J142+J164+J189+J205+J219</f>
        <v>866708.9</v>
      </c>
      <c r="K22" s="25">
        <f t="shared" si="9"/>
        <v>886863.5</v>
      </c>
      <c r="L22" s="25">
        <f t="shared" si="9"/>
        <v>1003124.7</v>
      </c>
      <c r="M22" s="156">
        <f t="shared" si="9"/>
        <v>1252041.4</v>
      </c>
      <c r="N22" s="207">
        <f t="shared" si="9"/>
        <v>1274843</v>
      </c>
      <c r="O22" s="207">
        <f t="shared" si="9"/>
        <v>1277252.8</v>
      </c>
      <c r="P22" s="207">
        <f t="shared" si="9"/>
        <v>1254280.8</v>
      </c>
      <c r="Q22" s="207">
        <f t="shared" si="9"/>
        <v>1254280.8</v>
      </c>
      <c r="R22" s="207">
        <f t="shared" si="9"/>
        <v>1314347.9</v>
      </c>
      <c r="S22" s="207">
        <f t="shared" si="9"/>
        <v>1314347.8</v>
      </c>
      <c r="T22" s="207">
        <f t="shared" si="9"/>
        <v>1314347.8</v>
      </c>
      <c r="U22" s="207">
        <f t="shared" si="9"/>
        <v>1314347.8</v>
      </c>
      <c r="V22" s="259">
        <f t="shared" si="8"/>
        <v>10483315.5</v>
      </c>
      <c r="W22" s="305">
        <v>2024</v>
      </c>
      <c r="X22" s="40">
        <f t="shared" si="2"/>
        <v>2409.8</v>
      </c>
      <c r="Y22" s="40">
        <f t="shared" si="3"/>
        <v>0</v>
      </c>
      <c r="Z22" s="40">
        <f t="shared" si="5"/>
        <v>-0.1</v>
      </c>
    </row>
    <row r="23" spans="1:26" ht="12.75">
      <c r="A23" s="36" t="s">
        <v>272</v>
      </c>
      <c r="B23" s="12">
        <v>1</v>
      </c>
      <c r="C23" s="12">
        <v>1</v>
      </c>
      <c r="D23" s="12">
        <v>0</v>
      </c>
      <c r="E23" s="12">
        <v>0</v>
      </c>
      <c r="F23" s="12">
        <v>0</v>
      </c>
      <c r="G23" s="12">
        <v>2</v>
      </c>
      <c r="H23" s="42" t="s">
        <v>275</v>
      </c>
      <c r="I23" s="14" t="s">
        <v>273</v>
      </c>
      <c r="J23" s="25">
        <f>J26+J66+J95+J190+J206+J220</f>
        <v>2025039.6</v>
      </c>
      <c r="K23" s="25">
        <f>K26+K66+K95+K190+K206+K220</f>
        <v>2098188.5</v>
      </c>
      <c r="L23" s="25">
        <f>L26+L66+L95+L190+L206+L220</f>
        <v>2446821.9</v>
      </c>
      <c r="M23" s="156">
        <f aca="true" t="shared" si="10" ref="M23:U23">M26+M66+M95+M190+M206</f>
        <v>2661275.8</v>
      </c>
      <c r="N23" s="207">
        <f t="shared" si="10"/>
        <v>2630322.3</v>
      </c>
      <c r="O23" s="207">
        <f t="shared" si="10"/>
        <v>2713803.3</v>
      </c>
      <c r="P23" s="207">
        <f t="shared" si="10"/>
        <v>2814995</v>
      </c>
      <c r="Q23" s="207">
        <f t="shared" si="10"/>
        <v>2973751.4</v>
      </c>
      <c r="R23" s="207">
        <f t="shared" si="10"/>
        <v>2814995</v>
      </c>
      <c r="S23" s="207">
        <f t="shared" si="10"/>
        <v>3170868.8</v>
      </c>
      <c r="T23" s="207">
        <f t="shared" si="10"/>
        <v>2814995</v>
      </c>
      <c r="U23" s="207">
        <f t="shared" si="10"/>
        <v>2814995</v>
      </c>
      <c r="V23" s="259">
        <f t="shared" si="8"/>
        <v>23719739.3</v>
      </c>
      <c r="W23" s="305">
        <v>2024</v>
      </c>
      <c r="X23" s="40">
        <f t="shared" si="2"/>
        <v>83481</v>
      </c>
      <c r="Y23" s="40">
        <f t="shared" si="3"/>
        <v>158756.4</v>
      </c>
      <c r="Z23" s="40">
        <f t="shared" si="5"/>
        <v>355873.8</v>
      </c>
    </row>
    <row r="24" spans="1:26" ht="25.5">
      <c r="A24" s="48" t="s">
        <v>272</v>
      </c>
      <c r="B24" s="11">
        <v>1</v>
      </c>
      <c r="C24" s="11">
        <v>1</v>
      </c>
      <c r="D24" s="11">
        <v>1</v>
      </c>
      <c r="E24" s="11">
        <v>0</v>
      </c>
      <c r="F24" s="11">
        <v>0</v>
      </c>
      <c r="G24" s="11"/>
      <c r="H24" s="49" t="s">
        <v>293</v>
      </c>
      <c r="I24" s="11" t="s">
        <v>273</v>
      </c>
      <c r="J24" s="10">
        <f>J26+J25</f>
        <v>1401555.1</v>
      </c>
      <c r="K24" s="10">
        <f>K26+K25</f>
        <v>1483448.3</v>
      </c>
      <c r="L24" s="10">
        <f>L26+L25</f>
        <v>1743128</v>
      </c>
      <c r="M24" s="157">
        <f aca="true" t="shared" si="11" ref="M24:U24">M25+M26</f>
        <v>1953089.9</v>
      </c>
      <c r="N24" s="208">
        <f t="shared" si="11"/>
        <v>1940166.7</v>
      </c>
      <c r="O24" s="208">
        <f t="shared" si="11"/>
        <v>1976098.5</v>
      </c>
      <c r="P24" s="208">
        <f t="shared" si="11"/>
        <v>2003256.9</v>
      </c>
      <c r="Q24" s="208">
        <f t="shared" si="11"/>
        <v>2087618.1</v>
      </c>
      <c r="R24" s="208">
        <f t="shared" si="11"/>
        <v>2025196.8</v>
      </c>
      <c r="S24" s="208">
        <f t="shared" si="11"/>
        <v>2189891.5</v>
      </c>
      <c r="T24" s="208">
        <f t="shared" si="11"/>
        <v>2025196.8</v>
      </c>
      <c r="U24" s="208">
        <f t="shared" si="11"/>
        <v>2025196.8</v>
      </c>
      <c r="V24" s="218">
        <f t="shared" si="8"/>
        <v>16885223</v>
      </c>
      <c r="W24" s="306">
        <v>2024</v>
      </c>
      <c r="X24" s="40">
        <f t="shared" si="2"/>
        <v>35931.8</v>
      </c>
      <c r="Y24" s="40">
        <f t="shared" si="3"/>
        <v>84361.2</v>
      </c>
      <c r="Z24" s="40">
        <f t="shared" si="5"/>
        <v>164694.7</v>
      </c>
    </row>
    <row r="25" spans="1:27" s="50" customFormat="1" ht="12.75">
      <c r="A25" s="36" t="s">
        <v>272</v>
      </c>
      <c r="B25" s="12">
        <v>1</v>
      </c>
      <c r="C25" s="12">
        <v>1</v>
      </c>
      <c r="D25" s="12">
        <v>1</v>
      </c>
      <c r="E25" s="12">
        <v>0</v>
      </c>
      <c r="F25" s="12">
        <v>0</v>
      </c>
      <c r="G25" s="12">
        <v>3</v>
      </c>
      <c r="H25" s="42" t="s">
        <v>274</v>
      </c>
      <c r="I25" s="12" t="s">
        <v>273</v>
      </c>
      <c r="J25" s="19">
        <f aca="true" t="shared" si="12" ref="J25:U25">J33+J48+J51+J54+J61</f>
        <v>361965.8</v>
      </c>
      <c r="K25" s="19">
        <f t="shared" si="12"/>
        <v>372382.5</v>
      </c>
      <c r="L25" s="19">
        <f t="shared" si="12"/>
        <v>435457.5</v>
      </c>
      <c r="M25" s="158">
        <f t="shared" si="12"/>
        <v>554179.1</v>
      </c>
      <c r="N25" s="209">
        <f t="shared" si="12"/>
        <v>553069.3</v>
      </c>
      <c r="O25" s="209">
        <f t="shared" si="12"/>
        <v>552989.3</v>
      </c>
      <c r="P25" s="209">
        <f t="shared" si="12"/>
        <v>534494.3</v>
      </c>
      <c r="Q25" s="209">
        <f t="shared" si="12"/>
        <v>534494.4</v>
      </c>
      <c r="R25" s="209">
        <f t="shared" si="12"/>
        <v>556434.2</v>
      </c>
      <c r="S25" s="209">
        <f t="shared" si="12"/>
        <v>556434.2</v>
      </c>
      <c r="T25" s="209">
        <f t="shared" si="12"/>
        <v>556434.2</v>
      </c>
      <c r="U25" s="209">
        <f t="shared" si="12"/>
        <v>556434.2</v>
      </c>
      <c r="V25" s="259">
        <f t="shared" si="8"/>
        <v>4480771.2</v>
      </c>
      <c r="W25" s="303">
        <v>2024</v>
      </c>
      <c r="X25" s="40">
        <f>O25-N25</f>
        <v>-80</v>
      </c>
      <c r="Y25" s="40">
        <f t="shared" si="3"/>
        <v>0.1</v>
      </c>
      <c r="Z25" s="40">
        <f t="shared" si="5"/>
        <v>0</v>
      </c>
      <c r="AA25" s="37"/>
    </row>
    <row r="26" spans="1:27" s="50" customFormat="1" ht="12.75">
      <c r="A26" s="36" t="s">
        <v>272</v>
      </c>
      <c r="B26" s="12">
        <v>1</v>
      </c>
      <c r="C26" s="12">
        <v>1</v>
      </c>
      <c r="D26" s="12">
        <v>1</v>
      </c>
      <c r="E26" s="12">
        <v>0</v>
      </c>
      <c r="F26" s="12">
        <v>0</v>
      </c>
      <c r="G26" s="12">
        <v>2</v>
      </c>
      <c r="H26" s="42" t="s">
        <v>275</v>
      </c>
      <c r="I26" s="12" t="s">
        <v>273</v>
      </c>
      <c r="J26" s="19">
        <f>J34+J43+J55</f>
        <v>1039589.3</v>
      </c>
      <c r="K26" s="19">
        <f>K34+K43+K55</f>
        <v>1111065.8</v>
      </c>
      <c r="L26" s="19">
        <f>L34+L43+L55</f>
        <v>1307670.5</v>
      </c>
      <c r="M26" s="158">
        <f>M34+M43+M55</f>
        <v>1398910.8</v>
      </c>
      <c r="N26" s="209">
        <f>N34+N43</f>
        <v>1387097.4</v>
      </c>
      <c r="O26" s="209">
        <f>O34+O43</f>
        <v>1423109.2</v>
      </c>
      <c r="P26" s="209">
        <f>P34+P43</f>
        <v>1468762.6</v>
      </c>
      <c r="Q26" s="209">
        <f>Q34+Q43</f>
        <v>1553123.7</v>
      </c>
      <c r="R26" s="209">
        <f>R34+R43+R55</f>
        <v>1468762.6</v>
      </c>
      <c r="S26" s="209">
        <f>S34+S43+S55</f>
        <v>1633457.3</v>
      </c>
      <c r="T26" s="209">
        <f>T34+T43+T55</f>
        <v>1468762.6</v>
      </c>
      <c r="U26" s="209">
        <f>U34+U43+U55</f>
        <v>1468762.6</v>
      </c>
      <c r="V26" s="259">
        <f t="shared" si="8"/>
        <v>12404451.8</v>
      </c>
      <c r="W26" s="303">
        <v>2024</v>
      </c>
      <c r="X26" s="40">
        <f t="shared" si="2"/>
        <v>36011.8</v>
      </c>
      <c r="Y26" s="40">
        <f t="shared" si="3"/>
        <v>84361.1</v>
      </c>
      <c r="Z26" s="40">
        <f t="shared" si="5"/>
        <v>164694.7</v>
      </c>
      <c r="AA26" s="37"/>
    </row>
    <row r="27" spans="1:26" ht="38.25">
      <c r="A27" s="43" t="s">
        <v>272</v>
      </c>
      <c r="B27" s="3">
        <v>1</v>
      </c>
      <c r="C27" s="3">
        <v>1</v>
      </c>
      <c r="D27" s="3">
        <v>1</v>
      </c>
      <c r="E27" s="3">
        <v>0</v>
      </c>
      <c r="F27" s="3">
        <v>0</v>
      </c>
      <c r="G27" s="21"/>
      <c r="H27" s="46" t="s">
        <v>294</v>
      </c>
      <c r="I27" s="21" t="s">
        <v>278</v>
      </c>
      <c r="J27" s="25">
        <v>33.2</v>
      </c>
      <c r="K27" s="25">
        <v>43.8</v>
      </c>
      <c r="L27" s="25">
        <v>43.9</v>
      </c>
      <c r="M27" s="156">
        <v>51</v>
      </c>
      <c r="N27" s="210">
        <v>43.2</v>
      </c>
      <c r="O27" s="210">
        <v>43.2</v>
      </c>
      <c r="P27" s="210">
        <v>43.2</v>
      </c>
      <c r="Q27" s="210">
        <v>43.2</v>
      </c>
      <c r="R27" s="207">
        <v>43.3</v>
      </c>
      <c r="S27" s="207">
        <v>43.3</v>
      </c>
      <c r="T27" s="207">
        <v>43.4</v>
      </c>
      <c r="U27" s="207">
        <v>43.5</v>
      </c>
      <c r="V27" s="221">
        <v>43.5</v>
      </c>
      <c r="W27" s="305">
        <v>2024</v>
      </c>
      <c r="X27" s="40">
        <f t="shared" si="2"/>
        <v>0</v>
      </c>
      <c r="Y27" s="40">
        <f t="shared" si="3"/>
        <v>0</v>
      </c>
      <c r="Z27" s="40">
        <f t="shared" si="5"/>
        <v>0</v>
      </c>
    </row>
    <row r="28" spans="1:26" ht="76.5">
      <c r="A28" s="43" t="s">
        <v>272</v>
      </c>
      <c r="B28" s="3">
        <v>1</v>
      </c>
      <c r="C28" s="3">
        <v>1</v>
      </c>
      <c r="D28" s="3">
        <v>1</v>
      </c>
      <c r="E28" s="3">
        <v>0</v>
      </c>
      <c r="F28" s="3">
        <v>0</v>
      </c>
      <c r="G28" s="21"/>
      <c r="H28" s="46" t="s">
        <v>295</v>
      </c>
      <c r="I28" s="21" t="s">
        <v>278</v>
      </c>
      <c r="J28" s="25">
        <v>100</v>
      </c>
      <c r="K28" s="25">
        <v>100</v>
      </c>
      <c r="L28" s="25">
        <v>100</v>
      </c>
      <c r="M28" s="156">
        <v>100</v>
      </c>
      <c r="N28" s="210">
        <v>100</v>
      </c>
      <c r="O28" s="210">
        <v>100</v>
      </c>
      <c r="P28" s="210">
        <v>100</v>
      </c>
      <c r="Q28" s="210">
        <v>100</v>
      </c>
      <c r="R28" s="207">
        <v>100</v>
      </c>
      <c r="S28" s="207">
        <v>100</v>
      </c>
      <c r="T28" s="207">
        <v>100</v>
      </c>
      <c r="U28" s="207">
        <v>100</v>
      </c>
      <c r="V28" s="222">
        <v>100</v>
      </c>
      <c r="W28" s="305">
        <v>2024</v>
      </c>
      <c r="X28" s="40">
        <f t="shared" si="2"/>
        <v>0</v>
      </c>
      <c r="Y28" s="40">
        <f t="shared" si="3"/>
        <v>0</v>
      </c>
      <c r="Z28" s="40">
        <f t="shared" si="5"/>
        <v>0</v>
      </c>
    </row>
    <row r="29" spans="1:26" ht="89.25">
      <c r="A29" s="43" t="s">
        <v>272</v>
      </c>
      <c r="B29" s="3">
        <v>1</v>
      </c>
      <c r="C29" s="3">
        <v>1</v>
      </c>
      <c r="D29" s="3">
        <v>1</v>
      </c>
      <c r="E29" s="3">
        <v>0</v>
      </c>
      <c r="F29" s="3">
        <v>0</v>
      </c>
      <c r="G29" s="21"/>
      <c r="H29" s="46" t="s">
        <v>296</v>
      </c>
      <c r="I29" s="21" t="s">
        <v>278</v>
      </c>
      <c r="J29" s="25">
        <v>100</v>
      </c>
      <c r="K29" s="25">
        <v>100</v>
      </c>
      <c r="L29" s="25">
        <v>100</v>
      </c>
      <c r="M29" s="156">
        <v>100</v>
      </c>
      <c r="N29" s="210">
        <v>100</v>
      </c>
      <c r="O29" s="210">
        <v>100</v>
      </c>
      <c r="P29" s="210">
        <v>100</v>
      </c>
      <c r="Q29" s="210">
        <v>100</v>
      </c>
      <c r="R29" s="207">
        <v>100</v>
      </c>
      <c r="S29" s="207">
        <v>100</v>
      </c>
      <c r="T29" s="207">
        <v>100</v>
      </c>
      <c r="U29" s="207">
        <v>100</v>
      </c>
      <c r="V29" s="222">
        <v>100</v>
      </c>
      <c r="W29" s="305">
        <v>2024</v>
      </c>
      <c r="X29" s="40">
        <f t="shared" si="2"/>
        <v>0</v>
      </c>
      <c r="Y29" s="40">
        <f t="shared" si="3"/>
        <v>0</v>
      </c>
      <c r="Z29" s="40">
        <f t="shared" si="5"/>
        <v>0</v>
      </c>
    </row>
    <row r="30" spans="1:26" ht="51">
      <c r="A30" s="51" t="s">
        <v>272</v>
      </c>
      <c r="B30" s="17">
        <v>1</v>
      </c>
      <c r="C30" s="17">
        <v>1</v>
      </c>
      <c r="D30" s="17">
        <v>1</v>
      </c>
      <c r="E30" s="17">
        <v>0</v>
      </c>
      <c r="F30" s="17">
        <v>1</v>
      </c>
      <c r="G30" s="20"/>
      <c r="H30" s="52" t="s">
        <v>233</v>
      </c>
      <c r="I30" s="20" t="s">
        <v>297</v>
      </c>
      <c r="J30" s="23" t="s">
        <v>298</v>
      </c>
      <c r="K30" s="23" t="s">
        <v>298</v>
      </c>
      <c r="L30" s="23" t="s">
        <v>298</v>
      </c>
      <c r="M30" s="143" t="s">
        <v>298</v>
      </c>
      <c r="N30" s="230" t="s">
        <v>298</v>
      </c>
      <c r="O30" s="230" t="s">
        <v>298</v>
      </c>
      <c r="P30" s="230" t="s">
        <v>298</v>
      </c>
      <c r="Q30" s="230" t="s">
        <v>298</v>
      </c>
      <c r="R30" s="219" t="s">
        <v>298</v>
      </c>
      <c r="S30" s="219" t="s">
        <v>298</v>
      </c>
      <c r="T30" s="219" t="s">
        <v>298</v>
      </c>
      <c r="U30" s="219" t="s">
        <v>298</v>
      </c>
      <c r="V30" s="219" t="s">
        <v>298</v>
      </c>
      <c r="W30" s="307">
        <v>2024</v>
      </c>
      <c r="X30" s="40"/>
      <c r="Y30" s="40"/>
      <c r="Z30" s="40"/>
    </row>
    <row r="31" spans="1:26" ht="51">
      <c r="A31" s="43" t="s">
        <v>272</v>
      </c>
      <c r="B31" s="3">
        <v>1</v>
      </c>
      <c r="C31" s="3">
        <v>1</v>
      </c>
      <c r="D31" s="3">
        <v>1</v>
      </c>
      <c r="E31" s="3">
        <v>0</v>
      </c>
      <c r="F31" s="3">
        <v>1</v>
      </c>
      <c r="G31" s="21"/>
      <c r="H31" s="46" t="s">
        <v>299</v>
      </c>
      <c r="I31" s="21" t="s">
        <v>278</v>
      </c>
      <c r="J31" s="25">
        <v>100</v>
      </c>
      <c r="K31" s="25">
        <v>100</v>
      </c>
      <c r="L31" s="25">
        <v>100</v>
      </c>
      <c r="M31" s="156">
        <v>100</v>
      </c>
      <c r="N31" s="210">
        <v>100</v>
      </c>
      <c r="O31" s="210">
        <v>100</v>
      </c>
      <c r="P31" s="210">
        <v>100</v>
      </c>
      <c r="Q31" s="210">
        <v>100</v>
      </c>
      <c r="R31" s="207">
        <v>100</v>
      </c>
      <c r="S31" s="207">
        <v>100</v>
      </c>
      <c r="T31" s="207">
        <v>100</v>
      </c>
      <c r="U31" s="207">
        <v>100</v>
      </c>
      <c r="V31" s="207">
        <v>100</v>
      </c>
      <c r="W31" s="305">
        <v>2024</v>
      </c>
      <c r="X31" s="40">
        <f t="shared" si="2"/>
        <v>0</v>
      </c>
      <c r="Y31" s="40">
        <f t="shared" si="3"/>
        <v>0</v>
      </c>
      <c r="Z31" s="40">
        <f t="shared" si="5"/>
        <v>0</v>
      </c>
    </row>
    <row r="32" spans="1:27" s="50" customFormat="1" ht="51">
      <c r="A32" s="51" t="s">
        <v>272</v>
      </c>
      <c r="B32" s="17">
        <v>1</v>
      </c>
      <c r="C32" s="17">
        <v>1</v>
      </c>
      <c r="D32" s="17">
        <v>1</v>
      </c>
      <c r="E32" s="17">
        <v>0</v>
      </c>
      <c r="F32" s="17">
        <v>2</v>
      </c>
      <c r="G32" s="17"/>
      <c r="H32" s="53" t="s">
        <v>84</v>
      </c>
      <c r="I32" s="17" t="s">
        <v>273</v>
      </c>
      <c r="J32" s="7">
        <f aca="true" t="shared" si="13" ref="J32:U32">J33+J34</f>
        <v>1304560.8</v>
      </c>
      <c r="K32" s="7">
        <f t="shared" si="13"/>
        <v>1386401.7</v>
      </c>
      <c r="L32" s="7">
        <f t="shared" si="13"/>
        <v>1641825.7</v>
      </c>
      <c r="M32" s="148">
        <f t="shared" si="13"/>
        <v>1827134.8</v>
      </c>
      <c r="N32" s="213">
        <f t="shared" si="13"/>
        <v>1893930.4</v>
      </c>
      <c r="O32" s="213">
        <f t="shared" si="13"/>
        <v>1875379.5</v>
      </c>
      <c r="P32" s="213">
        <f t="shared" si="13"/>
        <v>1957020.6</v>
      </c>
      <c r="Q32" s="213">
        <f t="shared" si="13"/>
        <v>1983749.5</v>
      </c>
      <c r="R32" s="213">
        <f t="shared" si="13"/>
        <v>1978960.5</v>
      </c>
      <c r="S32" s="213">
        <f t="shared" si="13"/>
        <v>2086023</v>
      </c>
      <c r="T32" s="213">
        <f t="shared" si="13"/>
        <v>1978960.5</v>
      </c>
      <c r="U32" s="213">
        <f t="shared" si="13"/>
        <v>1978960.5</v>
      </c>
      <c r="V32" s="216">
        <f>J32+K32+L32+M32+O32+Q32+S32+T32+U32</f>
        <v>16062996</v>
      </c>
      <c r="W32" s="308">
        <v>2024</v>
      </c>
      <c r="X32" s="40">
        <f t="shared" si="2"/>
        <v>-18550.9</v>
      </c>
      <c r="Y32" s="40">
        <f t="shared" si="3"/>
        <v>26728.9</v>
      </c>
      <c r="Z32" s="40">
        <f t="shared" si="5"/>
        <v>107062.5</v>
      </c>
      <c r="AA32" s="37"/>
    </row>
    <row r="33" spans="1:27" s="50" customFormat="1" ht="12.75">
      <c r="A33" s="36" t="s">
        <v>272</v>
      </c>
      <c r="B33" s="12">
        <v>1</v>
      </c>
      <c r="C33" s="12">
        <v>1</v>
      </c>
      <c r="D33" s="12">
        <v>1</v>
      </c>
      <c r="E33" s="12">
        <v>0</v>
      </c>
      <c r="F33" s="12">
        <v>2</v>
      </c>
      <c r="G33" s="12">
        <v>3</v>
      </c>
      <c r="H33" s="42" t="s">
        <v>274</v>
      </c>
      <c r="I33" s="12" t="s">
        <v>273</v>
      </c>
      <c r="J33" s="19">
        <f>350074.9+300-2467.9</f>
        <v>347907</v>
      </c>
      <c r="K33" s="19">
        <f>365379.5-0.07</f>
        <v>365379.4</v>
      </c>
      <c r="L33" s="19">
        <v>428394.5</v>
      </c>
      <c r="M33" s="158">
        <v>540651.4</v>
      </c>
      <c r="N33" s="214">
        <v>540659.2</v>
      </c>
      <c r="O33" s="214">
        <v>540659.2</v>
      </c>
      <c r="P33" s="214">
        <v>522084.2</v>
      </c>
      <c r="Q33" s="214">
        <v>522084.2</v>
      </c>
      <c r="R33" s="214">
        <v>544024.1</v>
      </c>
      <c r="S33" s="214">
        <v>544024.1</v>
      </c>
      <c r="T33" s="214">
        <v>544024.1</v>
      </c>
      <c r="U33" s="214">
        <v>544024.1</v>
      </c>
      <c r="V33" s="259">
        <f>J33+K33+L33+M33+O33+Q33+S33+T33+U33</f>
        <v>4377148</v>
      </c>
      <c r="W33" s="303">
        <v>2024</v>
      </c>
      <c r="X33" s="40">
        <f t="shared" si="2"/>
        <v>0</v>
      </c>
      <c r="Y33" s="40">
        <f t="shared" si="3"/>
        <v>0</v>
      </c>
      <c r="Z33" s="40">
        <f t="shared" si="5"/>
        <v>0</v>
      </c>
      <c r="AA33" s="37"/>
    </row>
    <row r="34" spans="1:27" s="50" customFormat="1" ht="12.75">
      <c r="A34" s="36" t="s">
        <v>272</v>
      </c>
      <c r="B34" s="12">
        <v>1</v>
      </c>
      <c r="C34" s="12">
        <v>1</v>
      </c>
      <c r="D34" s="12">
        <v>1</v>
      </c>
      <c r="E34" s="12">
        <v>0</v>
      </c>
      <c r="F34" s="12">
        <v>2</v>
      </c>
      <c r="G34" s="12">
        <v>2</v>
      </c>
      <c r="H34" s="42" t="s">
        <v>275</v>
      </c>
      <c r="I34" s="12" t="s">
        <v>273</v>
      </c>
      <c r="J34" s="19">
        <v>956653.8</v>
      </c>
      <c r="K34" s="19">
        <f>1011563.8+9458.5</f>
        <v>1021022.3</v>
      </c>
      <c r="L34" s="19">
        <v>1213431.2</v>
      </c>
      <c r="M34" s="158">
        <v>1286483.4</v>
      </c>
      <c r="N34" s="214">
        <v>1353271.2</v>
      </c>
      <c r="O34" s="214">
        <v>1334720.3</v>
      </c>
      <c r="P34" s="214">
        <v>1434936.4</v>
      </c>
      <c r="Q34" s="214">
        <v>1461665.3</v>
      </c>
      <c r="R34" s="214">
        <v>1434936.4</v>
      </c>
      <c r="S34" s="214">
        <v>1541998.9</v>
      </c>
      <c r="T34" s="214">
        <v>1434936.4</v>
      </c>
      <c r="U34" s="214">
        <v>1434936.4</v>
      </c>
      <c r="V34" s="259">
        <f>J34+K34+L34+M34+O34+Q34+S34+T34+U34</f>
        <v>11685848</v>
      </c>
      <c r="W34" s="303">
        <v>2024</v>
      </c>
      <c r="X34" s="40">
        <f t="shared" si="2"/>
        <v>-18550.9</v>
      </c>
      <c r="Y34" s="40">
        <f t="shared" si="3"/>
        <v>26728.9</v>
      </c>
      <c r="Z34" s="40">
        <f t="shared" si="5"/>
        <v>107062.5</v>
      </c>
      <c r="AA34" s="37"/>
    </row>
    <row r="35" spans="1:26" ht="51">
      <c r="A35" s="43" t="s">
        <v>272</v>
      </c>
      <c r="B35" s="3">
        <v>1</v>
      </c>
      <c r="C35" s="3">
        <v>1</v>
      </c>
      <c r="D35" s="3">
        <v>1</v>
      </c>
      <c r="E35" s="3">
        <v>0</v>
      </c>
      <c r="F35" s="3">
        <v>2</v>
      </c>
      <c r="G35" s="21"/>
      <c r="H35" s="54" t="s">
        <v>300</v>
      </c>
      <c r="I35" s="21" t="s">
        <v>301</v>
      </c>
      <c r="J35" s="1">
        <v>10602</v>
      </c>
      <c r="K35" s="1">
        <v>11344</v>
      </c>
      <c r="L35" s="1">
        <v>11226</v>
      </c>
      <c r="M35" s="189">
        <v>11546</v>
      </c>
      <c r="N35" s="237">
        <v>12046</v>
      </c>
      <c r="O35" s="215">
        <v>12046</v>
      </c>
      <c r="P35" s="237">
        <v>12446</v>
      </c>
      <c r="Q35" s="215">
        <v>12446</v>
      </c>
      <c r="R35" s="237">
        <v>12446</v>
      </c>
      <c r="S35" s="215">
        <v>12446</v>
      </c>
      <c r="T35" s="267">
        <v>12446</v>
      </c>
      <c r="U35" s="267">
        <v>12446</v>
      </c>
      <c r="V35" s="260">
        <v>12446</v>
      </c>
      <c r="W35" s="305">
        <v>2024</v>
      </c>
      <c r="X35" s="40">
        <f t="shared" si="2"/>
        <v>0</v>
      </c>
      <c r="Y35" s="40">
        <f t="shared" si="3"/>
        <v>0</v>
      </c>
      <c r="Z35" s="40">
        <f t="shared" si="5"/>
        <v>0</v>
      </c>
    </row>
    <row r="36" spans="1:26" ht="76.5">
      <c r="A36" s="43" t="s">
        <v>272</v>
      </c>
      <c r="B36" s="3">
        <v>1</v>
      </c>
      <c r="C36" s="3">
        <v>1</v>
      </c>
      <c r="D36" s="3">
        <v>1</v>
      </c>
      <c r="E36" s="3">
        <v>0</v>
      </c>
      <c r="F36" s="3">
        <v>2</v>
      </c>
      <c r="G36" s="21"/>
      <c r="H36" s="54" t="s">
        <v>78</v>
      </c>
      <c r="I36" s="21" t="s">
        <v>278</v>
      </c>
      <c r="J36" s="6">
        <f>326736/J9*100</f>
        <v>29.5</v>
      </c>
      <c r="K36" s="6">
        <f>343955.4/K9*100</f>
        <v>28.3</v>
      </c>
      <c r="L36" s="6">
        <f>402987.6/L9*100</f>
        <v>29</v>
      </c>
      <c r="M36" s="159">
        <v>29.3</v>
      </c>
      <c r="N36" s="211">
        <f>511136.8/N9*100</f>
        <v>31.8</v>
      </c>
      <c r="O36" s="242">
        <v>31.8</v>
      </c>
      <c r="P36" s="211">
        <f>493552.2/P9*100</f>
        <v>31.5</v>
      </c>
      <c r="Q36" s="242">
        <v>31.5</v>
      </c>
      <c r="R36" s="211">
        <f>514238.3/R9*100</f>
        <v>31.6</v>
      </c>
      <c r="S36" s="242">
        <v>31.6</v>
      </c>
      <c r="T36" s="242">
        <v>31.6</v>
      </c>
      <c r="U36" s="242">
        <v>31.6</v>
      </c>
      <c r="V36" s="309">
        <f>(J36+K36+L36+M36+O36+Q36+S36+T36+U36)/9</f>
        <v>30.5</v>
      </c>
      <c r="W36" s="305">
        <v>2024</v>
      </c>
      <c r="X36" s="40">
        <f t="shared" si="2"/>
        <v>0</v>
      </c>
      <c r="Y36" s="40">
        <f t="shared" si="3"/>
        <v>0</v>
      </c>
      <c r="Z36" s="40">
        <f t="shared" si="5"/>
        <v>0</v>
      </c>
    </row>
    <row r="37" spans="1:26" ht="114.75">
      <c r="A37" s="43" t="s">
        <v>272</v>
      </c>
      <c r="B37" s="3">
        <v>1</v>
      </c>
      <c r="C37" s="3">
        <v>1</v>
      </c>
      <c r="D37" s="3">
        <v>1</v>
      </c>
      <c r="E37" s="3">
        <v>0</v>
      </c>
      <c r="F37" s="3">
        <v>2</v>
      </c>
      <c r="G37" s="55"/>
      <c r="H37" s="54" t="s">
        <v>180</v>
      </c>
      <c r="I37" s="21" t="s">
        <v>273</v>
      </c>
      <c r="J37" s="25">
        <f>J34/(J35+J38)</f>
        <v>85.6</v>
      </c>
      <c r="K37" s="25">
        <v>84.6</v>
      </c>
      <c r="L37" s="25">
        <f>L34/(L35+L38)</f>
        <v>102.3</v>
      </c>
      <c r="M37" s="141">
        <v>105.7</v>
      </c>
      <c r="N37" s="210">
        <f>N34/(N35+N38)</f>
        <v>107.1</v>
      </c>
      <c r="O37" s="210">
        <f>O34/(O35+O38)</f>
        <v>105.6</v>
      </c>
      <c r="P37" s="210">
        <f aca="true" t="shared" si="14" ref="P37:U37">P34/(P35+P38)</f>
        <v>110.1</v>
      </c>
      <c r="Q37" s="210">
        <f>Q34/(Q35+Q38)</f>
        <v>112.2</v>
      </c>
      <c r="R37" s="210">
        <f t="shared" si="14"/>
        <v>110.1</v>
      </c>
      <c r="S37" s="210">
        <f>S34/(S35+S38)</f>
        <v>118.3</v>
      </c>
      <c r="T37" s="210">
        <f t="shared" si="14"/>
        <v>110.1</v>
      </c>
      <c r="U37" s="210">
        <f t="shared" si="14"/>
        <v>110.1</v>
      </c>
      <c r="V37" s="309">
        <f>(J37+K37+L37+M37+O37+Q37+S37+T37+U37)/9</f>
        <v>103.8</v>
      </c>
      <c r="W37" s="305">
        <v>2024</v>
      </c>
      <c r="X37" s="40">
        <f t="shared" si="2"/>
        <v>-1.5</v>
      </c>
      <c r="Y37" s="40">
        <f t="shared" si="3"/>
        <v>2.1</v>
      </c>
      <c r="Z37" s="40">
        <f t="shared" si="5"/>
        <v>8.2</v>
      </c>
    </row>
    <row r="38" spans="1:26" ht="76.5">
      <c r="A38" s="43" t="s">
        <v>272</v>
      </c>
      <c r="B38" s="3">
        <v>1</v>
      </c>
      <c r="C38" s="3">
        <v>1</v>
      </c>
      <c r="D38" s="3">
        <v>1</v>
      </c>
      <c r="E38" s="3">
        <v>0</v>
      </c>
      <c r="F38" s="3">
        <v>2</v>
      </c>
      <c r="G38" s="55"/>
      <c r="H38" s="54" t="s">
        <v>181</v>
      </c>
      <c r="I38" s="21" t="s">
        <v>301</v>
      </c>
      <c r="J38" s="1">
        <v>579</v>
      </c>
      <c r="K38" s="1">
        <v>621</v>
      </c>
      <c r="L38" s="1">
        <v>636</v>
      </c>
      <c r="M38" s="189">
        <v>622</v>
      </c>
      <c r="N38" s="237">
        <v>589</v>
      </c>
      <c r="O38" s="215">
        <v>589</v>
      </c>
      <c r="P38" s="237">
        <v>587</v>
      </c>
      <c r="Q38" s="215">
        <v>587</v>
      </c>
      <c r="R38" s="237">
        <v>587</v>
      </c>
      <c r="S38" s="215">
        <v>587</v>
      </c>
      <c r="T38" s="267">
        <v>587</v>
      </c>
      <c r="U38" s="267">
        <v>587</v>
      </c>
      <c r="V38" s="309">
        <v>587</v>
      </c>
      <c r="W38" s="305">
        <v>2024</v>
      </c>
      <c r="X38" s="40">
        <f t="shared" si="2"/>
        <v>0</v>
      </c>
      <c r="Y38" s="40">
        <f t="shared" si="3"/>
        <v>0</v>
      </c>
      <c r="Z38" s="40">
        <f t="shared" si="5"/>
        <v>0</v>
      </c>
    </row>
    <row r="39" spans="1:26" ht="89.25">
      <c r="A39" s="43" t="s">
        <v>272</v>
      </c>
      <c r="B39" s="3">
        <v>1</v>
      </c>
      <c r="C39" s="3">
        <v>1</v>
      </c>
      <c r="D39" s="3">
        <v>1</v>
      </c>
      <c r="E39" s="3">
        <v>0</v>
      </c>
      <c r="F39" s="3">
        <v>2</v>
      </c>
      <c r="G39" s="55"/>
      <c r="H39" s="54" t="s">
        <v>79</v>
      </c>
      <c r="I39" s="21" t="s">
        <v>278</v>
      </c>
      <c r="J39" s="6">
        <f>21171/J9*100</f>
        <v>1.9</v>
      </c>
      <c r="K39" s="6">
        <f>21424/K9*100</f>
        <v>1.8</v>
      </c>
      <c r="L39" s="6">
        <f>25406.8/L9*100</f>
        <v>1.8</v>
      </c>
      <c r="M39" s="192">
        <v>1.8</v>
      </c>
      <c r="N39" s="211">
        <f>29552.4/N9*100</f>
        <v>1.8</v>
      </c>
      <c r="O39" s="242">
        <f>29522.4/O9*100</f>
        <v>1.8</v>
      </c>
      <c r="P39" s="211">
        <f>28532/P9*100</f>
        <v>1.8</v>
      </c>
      <c r="Q39" s="242">
        <v>1.8</v>
      </c>
      <c r="R39" s="211">
        <f>29785.8/R9*100</f>
        <v>1.8</v>
      </c>
      <c r="S39" s="242">
        <v>1.8</v>
      </c>
      <c r="T39" s="242">
        <v>1.8</v>
      </c>
      <c r="U39" s="242">
        <v>1.8</v>
      </c>
      <c r="V39" s="309">
        <f>(J39+K39+L39+M39+O39+Q39+S39+T39+U39)/9</f>
        <v>1.8</v>
      </c>
      <c r="W39" s="305">
        <v>2024</v>
      </c>
      <c r="X39" s="40">
        <f t="shared" si="2"/>
        <v>0</v>
      </c>
      <c r="Y39" s="40">
        <f t="shared" si="3"/>
        <v>0</v>
      </c>
      <c r="Z39" s="40">
        <f t="shared" si="5"/>
        <v>0</v>
      </c>
    </row>
    <row r="40" spans="1:26" ht="63.75">
      <c r="A40" s="43" t="s">
        <v>272</v>
      </c>
      <c r="B40" s="3">
        <v>1</v>
      </c>
      <c r="C40" s="3">
        <v>1</v>
      </c>
      <c r="D40" s="3">
        <v>1</v>
      </c>
      <c r="E40" s="3">
        <v>0</v>
      </c>
      <c r="F40" s="3">
        <v>2</v>
      </c>
      <c r="G40" s="55"/>
      <c r="H40" s="54" t="s">
        <v>154</v>
      </c>
      <c r="I40" s="21" t="s">
        <v>52</v>
      </c>
      <c r="J40" s="6">
        <v>0</v>
      </c>
      <c r="K40" s="25">
        <v>31452.8</v>
      </c>
      <c r="L40" s="25">
        <v>35199.6</v>
      </c>
      <c r="M40" s="156">
        <v>39093.8</v>
      </c>
      <c r="N40" s="210">
        <v>40408.1</v>
      </c>
      <c r="O40" s="210">
        <v>40408.1</v>
      </c>
      <c r="P40" s="210">
        <v>40408.1</v>
      </c>
      <c r="Q40" s="210">
        <v>40408.1</v>
      </c>
      <c r="R40" s="210">
        <v>40408.1</v>
      </c>
      <c r="S40" s="210">
        <v>40408.1</v>
      </c>
      <c r="T40" s="210">
        <v>40408.1</v>
      </c>
      <c r="U40" s="210">
        <v>40408.1</v>
      </c>
      <c r="V40" s="222">
        <v>40408.1</v>
      </c>
      <c r="W40" s="305">
        <v>2024</v>
      </c>
      <c r="X40" s="40">
        <f t="shared" si="2"/>
        <v>0</v>
      </c>
      <c r="Y40" s="40">
        <f t="shared" si="3"/>
        <v>0</v>
      </c>
      <c r="Z40" s="40">
        <f t="shared" si="5"/>
        <v>0</v>
      </c>
    </row>
    <row r="41" spans="1:26" ht="84" customHeight="1">
      <c r="A41" s="43" t="s">
        <v>272</v>
      </c>
      <c r="B41" s="3">
        <v>1</v>
      </c>
      <c r="C41" s="3">
        <v>1</v>
      </c>
      <c r="D41" s="3">
        <v>1</v>
      </c>
      <c r="E41" s="3">
        <v>0</v>
      </c>
      <c r="F41" s="3">
        <v>2</v>
      </c>
      <c r="G41" s="21"/>
      <c r="H41" s="46" t="s">
        <v>144</v>
      </c>
      <c r="I41" s="21" t="s">
        <v>301</v>
      </c>
      <c r="J41" s="56">
        <v>0</v>
      </c>
      <c r="K41" s="1">
        <v>0</v>
      </c>
      <c r="L41" s="1">
        <v>722</v>
      </c>
      <c r="M41" s="165">
        <v>772</v>
      </c>
      <c r="N41" s="212">
        <v>535</v>
      </c>
      <c r="O41" s="212">
        <v>535</v>
      </c>
      <c r="P41" s="212">
        <v>526</v>
      </c>
      <c r="Q41" s="212">
        <v>526</v>
      </c>
      <c r="R41" s="212">
        <v>526</v>
      </c>
      <c r="S41" s="212">
        <v>526</v>
      </c>
      <c r="T41" s="212">
        <v>526</v>
      </c>
      <c r="U41" s="212">
        <v>526</v>
      </c>
      <c r="V41" s="260">
        <f aca="true" t="shared" si="15" ref="V41:V51">J41+K41+L41+M41+O41+Q41+S41+T41+U41</f>
        <v>4133</v>
      </c>
      <c r="W41" s="305">
        <v>2024</v>
      </c>
      <c r="X41" s="40">
        <f t="shared" si="2"/>
        <v>0</v>
      </c>
      <c r="Y41" s="40">
        <f t="shared" si="3"/>
        <v>0</v>
      </c>
      <c r="Z41" s="40">
        <f t="shared" si="5"/>
        <v>0</v>
      </c>
    </row>
    <row r="42" spans="1:27" s="50" customFormat="1" ht="89.25">
      <c r="A42" s="51" t="s">
        <v>272</v>
      </c>
      <c r="B42" s="17">
        <v>1</v>
      </c>
      <c r="C42" s="17">
        <v>1</v>
      </c>
      <c r="D42" s="17">
        <v>1</v>
      </c>
      <c r="E42" s="17">
        <v>0</v>
      </c>
      <c r="F42" s="17">
        <v>3</v>
      </c>
      <c r="G42" s="17"/>
      <c r="H42" s="53" t="s">
        <v>85</v>
      </c>
      <c r="I42" s="17" t="s">
        <v>273</v>
      </c>
      <c r="J42" s="7">
        <f aca="true" t="shared" si="16" ref="J42:U42">J43</f>
        <v>82585</v>
      </c>
      <c r="K42" s="7">
        <f t="shared" si="16"/>
        <v>89695.7</v>
      </c>
      <c r="L42" s="7">
        <f t="shared" si="16"/>
        <v>94239.3</v>
      </c>
      <c r="M42" s="144">
        <f t="shared" si="16"/>
        <v>107189.7</v>
      </c>
      <c r="N42" s="216">
        <f t="shared" si="16"/>
        <v>33826.2</v>
      </c>
      <c r="O42" s="216">
        <f t="shared" si="16"/>
        <v>88388.9</v>
      </c>
      <c r="P42" s="216">
        <f t="shared" si="16"/>
        <v>33826.2</v>
      </c>
      <c r="Q42" s="216">
        <f t="shared" si="16"/>
        <v>91458.4</v>
      </c>
      <c r="R42" s="213">
        <f t="shared" si="16"/>
        <v>33826.2</v>
      </c>
      <c r="S42" s="213">
        <f t="shared" si="16"/>
        <v>91458.4</v>
      </c>
      <c r="T42" s="213">
        <f t="shared" si="16"/>
        <v>33826.2</v>
      </c>
      <c r="U42" s="213">
        <f t="shared" si="16"/>
        <v>33826.2</v>
      </c>
      <c r="V42" s="216">
        <f t="shared" si="15"/>
        <v>712667.8</v>
      </c>
      <c r="W42" s="308">
        <v>2024</v>
      </c>
      <c r="X42" s="40">
        <f t="shared" si="2"/>
        <v>54562.7</v>
      </c>
      <c r="Y42" s="40">
        <f t="shared" si="3"/>
        <v>57632.2</v>
      </c>
      <c r="Z42" s="40">
        <f t="shared" si="5"/>
        <v>57632.2</v>
      </c>
      <c r="AA42" s="37"/>
    </row>
    <row r="43" spans="1:27" s="50" customFormat="1" ht="12.75">
      <c r="A43" s="36" t="s">
        <v>272</v>
      </c>
      <c r="B43" s="12">
        <v>1</v>
      </c>
      <c r="C43" s="12">
        <v>1</v>
      </c>
      <c r="D43" s="12">
        <v>1</v>
      </c>
      <c r="E43" s="12">
        <v>0</v>
      </c>
      <c r="F43" s="12">
        <v>3</v>
      </c>
      <c r="G43" s="12">
        <v>2</v>
      </c>
      <c r="H43" s="42" t="s">
        <v>275</v>
      </c>
      <c r="I43" s="3" t="s">
        <v>273</v>
      </c>
      <c r="J43" s="19">
        <f>72635+9950</f>
        <v>82585</v>
      </c>
      <c r="K43" s="19">
        <v>89695.7</v>
      </c>
      <c r="L43" s="19">
        <v>94239.3</v>
      </c>
      <c r="M43" s="158">
        <v>107189.7</v>
      </c>
      <c r="N43" s="214">
        <v>33826.2</v>
      </c>
      <c r="O43" s="214">
        <v>88388.9</v>
      </c>
      <c r="P43" s="214">
        <v>33826.2</v>
      </c>
      <c r="Q43" s="214">
        <v>91458.4</v>
      </c>
      <c r="R43" s="214">
        <v>33826.2</v>
      </c>
      <c r="S43" s="214">
        <v>91458.4</v>
      </c>
      <c r="T43" s="214">
        <v>33826.2</v>
      </c>
      <c r="U43" s="214">
        <v>33826.2</v>
      </c>
      <c r="V43" s="259">
        <f t="shared" si="15"/>
        <v>712667.8</v>
      </c>
      <c r="W43" s="303">
        <v>2024</v>
      </c>
      <c r="X43" s="40">
        <f t="shared" si="2"/>
        <v>54562.7</v>
      </c>
      <c r="Y43" s="40">
        <f t="shared" si="3"/>
        <v>57632.2</v>
      </c>
      <c r="Z43" s="40">
        <f t="shared" si="5"/>
        <v>57632.2</v>
      </c>
      <c r="AA43" s="37"/>
    </row>
    <row r="44" spans="1:26" ht="89.25">
      <c r="A44" s="36" t="s">
        <v>272</v>
      </c>
      <c r="B44" s="12">
        <v>1</v>
      </c>
      <c r="C44" s="12">
        <v>1</v>
      </c>
      <c r="D44" s="12">
        <v>1</v>
      </c>
      <c r="E44" s="12">
        <v>0</v>
      </c>
      <c r="F44" s="12">
        <v>3</v>
      </c>
      <c r="G44" s="57"/>
      <c r="H44" s="58" t="s">
        <v>182</v>
      </c>
      <c r="I44" s="21" t="s">
        <v>301</v>
      </c>
      <c r="J44" s="1">
        <v>6643</v>
      </c>
      <c r="K44" s="1">
        <f>6540+7</f>
        <v>6547</v>
      </c>
      <c r="L44" s="1">
        <v>6125</v>
      </c>
      <c r="M44" s="189">
        <v>6025</v>
      </c>
      <c r="N44" s="215">
        <v>6552</v>
      </c>
      <c r="O44" s="215">
        <v>6552</v>
      </c>
      <c r="P44" s="215">
        <v>6763</v>
      </c>
      <c r="Q44" s="215">
        <v>6763</v>
      </c>
      <c r="R44" s="215">
        <v>6763</v>
      </c>
      <c r="S44" s="215">
        <v>6763</v>
      </c>
      <c r="T44" s="215">
        <v>6763</v>
      </c>
      <c r="U44" s="215">
        <v>6763</v>
      </c>
      <c r="V44" s="260">
        <f t="shared" si="15"/>
        <v>58944</v>
      </c>
      <c r="W44" s="305">
        <v>2024</v>
      </c>
      <c r="X44" s="40">
        <f t="shared" si="2"/>
        <v>0</v>
      </c>
      <c r="Y44" s="40">
        <f t="shared" si="3"/>
        <v>0</v>
      </c>
      <c r="Z44" s="40">
        <f t="shared" si="5"/>
        <v>0</v>
      </c>
    </row>
    <row r="45" spans="1:26" ht="89.25">
      <c r="A45" s="36" t="s">
        <v>272</v>
      </c>
      <c r="B45" s="12">
        <v>1</v>
      </c>
      <c r="C45" s="12">
        <v>1</v>
      </c>
      <c r="D45" s="12">
        <v>1</v>
      </c>
      <c r="E45" s="12">
        <v>0</v>
      </c>
      <c r="F45" s="12">
        <v>3</v>
      </c>
      <c r="G45" s="57"/>
      <c r="H45" s="58" t="s">
        <v>183</v>
      </c>
      <c r="I45" s="21" t="s">
        <v>301</v>
      </c>
      <c r="J45" s="1">
        <v>4101</v>
      </c>
      <c r="K45" s="1">
        <f>4412-2</f>
        <v>4410</v>
      </c>
      <c r="L45" s="1">
        <v>4985</v>
      </c>
      <c r="M45" s="189">
        <v>4986</v>
      </c>
      <c r="N45" s="215">
        <v>5066</v>
      </c>
      <c r="O45" s="215">
        <v>5066</v>
      </c>
      <c r="P45" s="215">
        <v>5229</v>
      </c>
      <c r="Q45" s="215">
        <v>5229</v>
      </c>
      <c r="R45" s="215">
        <v>5229</v>
      </c>
      <c r="S45" s="215">
        <v>5229</v>
      </c>
      <c r="T45" s="215">
        <v>5229</v>
      </c>
      <c r="U45" s="215">
        <v>5229</v>
      </c>
      <c r="V45" s="260">
        <f t="shared" si="15"/>
        <v>44464</v>
      </c>
      <c r="W45" s="305">
        <v>2024</v>
      </c>
      <c r="X45" s="40">
        <f t="shared" si="2"/>
        <v>0</v>
      </c>
      <c r="Y45" s="40">
        <f t="shared" si="3"/>
        <v>0</v>
      </c>
      <c r="Z45" s="40">
        <f t="shared" si="5"/>
        <v>0</v>
      </c>
    </row>
    <row r="46" spans="1:26" ht="89.25">
      <c r="A46" s="36" t="s">
        <v>272</v>
      </c>
      <c r="B46" s="12">
        <v>1</v>
      </c>
      <c r="C46" s="12">
        <v>1</v>
      </c>
      <c r="D46" s="12">
        <v>1</v>
      </c>
      <c r="E46" s="12">
        <v>0</v>
      </c>
      <c r="F46" s="12">
        <v>3</v>
      </c>
      <c r="G46" s="57"/>
      <c r="H46" s="58" t="s">
        <v>184</v>
      </c>
      <c r="I46" s="21" t="s">
        <v>301</v>
      </c>
      <c r="J46" s="59">
        <v>527</v>
      </c>
      <c r="K46" s="59">
        <v>640</v>
      </c>
      <c r="L46" s="59">
        <v>827</v>
      </c>
      <c r="M46" s="190">
        <v>863</v>
      </c>
      <c r="N46" s="238">
        <v>744</v>
      </c>
      <c r="O46" s="238">
        <v>744</v>
      </c>
      <c r="P46" s="238">
        <v>768</v>
      </c>
      <c r="Q46" s="238">
        <v>768</v>
      </c>
      <c r="R46" s="238">
        <v>768</v>
      </c>
      <c r="S46" s="238">
        <v>768</v>
      </c>
      <c r="T46" s="238">
        <v>768</v>
      </c>
      <c r="U46" s="238">
        <v>768</v>
      </c>
      <c r="V46" s="260">
        <f t="shared" si="15"/>
        <v>6673</v>
      </c>
      <c r="W46" s="305">
        <v>2024</v>
      </c>
      <c r="X46" s="40">
        <f t="shared" si="2"/>
        <v>0</v>
      </c>
      <c r="Y46" s="40">
        <f t="shared" si="3"/>
        <v>0</v>
      </c>
      <c r="Z46" s="40">
        <f t="shared" si="5"/>
        <v>0</v>
      </c>
    </row>
    <row r="47" spans="1:27" s="50" customFormat="1" ht="89.25">
      <c r="A47" s="51" t="s">
        <v>272</v>
      </c>
      <c r="B47" s="17">
        <v>1</v>
      </c>
      <c r="C47" s="17">
        <v>1</v>
      </c>
      <c r="D47" s="17">
        <v>1</v>
      </c>
      <c r="E47" s="17">
        <v>0</v>
      </c>
      <c r="F47" s="17">
        <v>4</v>
      </c>
      <c r="G47" s="17"/>
      <c r="H47" s="53" t="s">
        <v>86</v>
      </c>
      <c r="I47" s="17" t="s">
        <v>273</v>
      </c>
      <c r="J47" s="7">
        <f aca="true" t="shared" si="17" ref="J47:U47">J48</f>
        <v>2973</v>
      </c>
      <c r="K47" s="7">
        <f t="shared" si="17"/>
        <v>1543</v>
      </c>
      <c r="L47" s="7">
        <f t="shared" si="17"/>
        <v>1087.7</v>
      </c>
      <c r="M47" s="144">
        <f t="shared" si="17"/>
        <v>719.7</v>
      </c>
      <c r="N47" s="216">
        <f t="shared" si="17"/>
        <v>937</v>
      </c>
      <c r="O47" s="216">
        <f t="shared" si="17"/>
        <v>937</v>
      </c>
      <c r="P47" s="216">
        <f t="shared" si="17"/>
        <v>937</v>
      </c>
      <c r="Q47" s="216">
        <f t="shared" si="17"/>
        <v>937</v>
      </c>
      <c r="R47" s="213">
        <f t="shared" si="17"/>
        <v>937</v>
      </c>
      <c r="S47" s="213">
        <f t="shared" si="17"/>
        <v>937</v>
      </c>
      <c r="T47" s="213">
        <f t="shared" si="17"/>
        <v>937</v>
      </c>
      <c r="U47" s="213">
        <f t="shared" si="17"/>
        <v>937</v>
      </c>
      <c r="V47" s="216">
        <f t="shared" si="15"/>
        <v>11008.4</v>
      </c>
      <c r="W47" s="308">
        <v>2024</v>
      </c>
      <c r="X47" s="40">
        <f t="shared" si="2"/>
        <v>0</v>
      </c>
      <c r="Y47" s="40">
        <f t="shared" si="3"/>
        <v>0</v>
      </c>
      <c r="Z47" s="40">
        <f t="shared" si="5"/>
        <v>0</v>
      </c>
      <c r="AA47" s="37"/>
    </row>
    <row r="48" spans="1:27" s="50" customFormat="1" ht="12.75">
      <c r="A48" s="36" t="s">
        <v>272</v>
      </c>
      <c r="B48" s="12">
        <v>1</v>
      </c>
      <c r="C48" s="12">
        <v>1</v>
      </c>
      <c r="D48" s="12">
        <v>1</v>
      </c>
      <c r="E48" s="12">
        <v>0</v>
      </c>
      <c r="F48" s="12">
        <v>4</v>
      </c>
      <c r="G48" s="12">
        <v>3</v>
      </c>
      <c r="H48" s="42" t="s">
        <v>274</v>
      </c>
      <c r="I48" s="3" t="s">
        <v>273</v>
      </c>
      <c r="J48" s="19">
        <f>2982.9-9.9</f>
        <v>2973</v>
      </c>
      <c r="K48" s="19">
        <v>1543</v>
      </c>
      <c r="L48" s="19">
        <v>1087.7</v>
      </c>
      <c r="M48" s="158">
        <v>719.7</v>
      </c>
      <c r="N48" s="214">
        <v>937</v>
      </c>
      <c r="O48" s="214">
        <v>937</v>
      </c>
      <c r="P48" s="214">
        <v>937</v>
      </c>
      <c r="Q48" s="214">
        <v>937</v>
      </c>
      <c r="R48" s="214">
        <v>937</v>
      </c>
      <c r="S48" s="214">
        <v>937</v>
      </c>
      <c r="T48" s="214">
        <v>937</v>
      </c>
      <c r="U48" s="214">
        <v>937</v>
      </c>
      <c r="V48" s="259">
        <f t="shared" si="15"/>
        <v>11008.4</v>
      </c>
      <c r="W48" s="303">
        <v>2024</v>
      </c>
      <c r="X48" s="40">
        <f t="shared" si="2"/>
        <v>0</v>
      </c>
      <c r="Y48" s="40">
        <f t="shared" si="3"/>
        <v>0</v>
      </c>
      <c r="Z48" s="40">
        <f t="shared" si="5"/>
        <v>0</v>
      </c>
      <c r="AA48" s="37"/>
    </row>
    <row r="49" spans="1:26" ht="102">
      <c r="A49" s="36" t="s">
        <v>272</v>
      </c>
      <c r="B49" s="12">
        <v>1</v>
      </c>
      <c r="C49" s="12">
        <v>1</v>
      </c>
      <c r="D49" s="12">
        <v>1</v>
      </c>
      <c r="E49" s="12">
        <v>0</v>
      </c>
      <c r="F49" s="12">
        <v>4</v>
      </c>
      <c r="G49" s="57"/>
      <c r="H49" s="58" t="s">
        <v>20</v>
      </c>
      <c r="I49" s="21" t="s">
        <v>273</v>
      </c>
      <c r="J49" s="25">
        <v>5.4</v>
      </c>
      <c r="K49" s="25">
        <f>1543/273</f>
        <v>5.7</v>
      </c>
      <c r="L49" s="25">
        <v>5.2</v>
      </c>
      <c r="M49" s="156">
        <v>5.1</v>
      </c>
      <c r="N49" s="210">
        <f>N48/172</f>
        <v>5.4</v>
      </c>
      <c r="O49" s="210">
        <f aca="true" t="shared" si="18" ref="O49:U49">O48/172</f>
        <v>5.4</v>
      </c>
      <c r="P49" s="210">
        <f>P48/172</f>
        <v>5.4</v>
      </c>
      <c r="Q49" s="210">
        <f t="shared" si="18"/>
        <v>5.4</v>
      </c>
      <c r="R49" s="210">
        <f>R48/172</f>
        <v>5.4</v>
      </c>
      <c r="S49" s="210">
        <f t="shared" si="18"/>
        <v>5.4</v>
      </c>
      <c r="T49" s="210">
        <f t="shared" si="18"/>
        <v>5.4</v>
      </c>
      <c r="U49" s="210">
        <f t="shared" si="18"/>
        <v>5.4</v>
      </c>
      <c r="V49" s="222">
        <f t="shared" si="15"/>
        <v>48.4</v>
      </c>
      <c r="W49" s="305">
        <v>2024</v>
      </c>
      <c r="X49" s="40">
        <f t="shared" si="2"/>
        <v>0</v>
      </c>
      <c r="Y49" s="40">
        <f t="shared" si="3"/>
        <v>0</v>
      </c>
      <c r="Z49" s="40">
        <f t="shared" si="5"/>
        <v>0</v>
      </c>
    </row>
    <row r="50" spans="1:27" s="50" customFormat="1" ht="127.5">
      <c r="A50" s="60" t="s">
        <v>272</v>
      </c>
      <c r="B50" s="17">
        <v>1</v>
      </c>
      <c r="C50" s="17">
        <v>1</v>
      </c>
      <c r="D50" s="17">
        <v>1</v>
      </c>
      <c r="E50" s="17">
        <v>0</v>
      </c>
      <c r="F50" s="17">
        <v>5</v>
      </c>
      <c r="G50" s="17"/>
      <c r="H50" s="61" t="s">
        <v>87</v>
      </c>
      <c r="I50" s="17" t="s">
        <v>273</v>
      </c>
      <c r="J50" s="7">
        <f>J51</f>
        <v>3594.2</v>
      </c>
      <c r="K50" s="7">
        <f>K51</f>
        <v>3700.5</v>
      </c>
      <c r="L50" s="7">
        <f>L51</f>
        <v>3700.5</v>
      </c>
      <c r="M50" s="144">
        <f aca="true" t="shared" si="19" ref="M50:U50">M51</f>
        <v>4723.5</v>
      </c>
      <c r="N50" s="216">
        <f t="shared" si="19"/>
        <v>4697.3</v>
      </c>
      <c r="O50" s="216">
        <f t="shared" si="19"/>
        <v>4697.3</v>
      </c>
      <c r="P50" s="216">
        <f t="shared" si="19"/>
        <v>4697.3</v>
      </c>
      <c r="Q50" s="216">
        <f t="shared" si="19"/>
        <v>4697.3</v>
      </c>
      <c r="R50" s="216">
        <f t="shared" si="19"/>
        <v>4697.3</v>
      </c>
      <c r="S50" s="216">
        <f t="shared" si="19"/>
        <v>4697.3</v>
      </c>
      <c r="T50" s="216">
        <f t="shared" si="19"/>
        <v>4697.3</v>
      </c>
      <c r="U50" s="216">
        <f t="shared" si="19"/>
        <v>4697.3</v>
      </c>
      <c r="V50" s="216">
        <f t="shared" si="15"/>
        <v>39205.2</v>
      </c>
      <c r="W50" s="308">
        <v>2024</v>
      </c>
      <c r="X50" s="40">
        <f t="shared" si="2"/>
        <v>0</v>
      </c>
      <c r="Y50" s="40">
        <f t="shared" si="3"/>
        <v>0</v>
      </c>
      <c r="Z50" s="40">
        <f t="shared" si="5"/>
        <v>0</v>
      </c>
      <c r="AA50" s="37"/>
    </row>
    <row r="51" spans="1:27" s="50" customFormat="1" ht="12.75">
      <c r="A51" s="36" t="s">
        <v>272</v>
      </c>
      <c r="B51" s="12">
        <v>1</v>
      </c>
      <c r="C51" s="12">
        <v>1</v>
      </c>
      <c r="D51" s="12">
        <v>1</v>
      </c>
      <c r="E51" s="12">
        <v>0</v>
      </c>
      <c r="F51" s="12">
        <v>5</v>
      </c>
      <c r="G51" s="12">
        <v>3</v>
      </c>
      <c r="H51" s="42" t="s">
        <v>274</v>
      </c>
      <c r="I51" s="3" t="s">
        <v>273</v>
      </c>
      <c r="J51" s="19">
        <v>3594.2</v>
      </c>
      <c r="K51" s="19">
        <f>3700.5</f>
        <v>3700.5</v>
      </c>
      <c r="L51" s="19">
        <v>3700.5</v>
      </c>
      <c r="M51" s="158">
        <v>4723.5</v>
      </c>
      <c r="N51" s="214">
        <v>4697.3</v>
      </c>
      <c r="O51" s="214">
        <v>4697.3</v>
      </c>
      <c r="P51" s="214">
        <v>4697.3</v>
      </c>
      <c r="Q51" s="214">
        <v>4697.3</v>
      </c>
      <c r="R51" s="209">
        <v>4697.3</v>
      </c>
      <c r="S51" s="209">
        <v>4697.3</v>
      </c>
      <c r="T51" s="209">
        <v>4697.3</v>
      </c>
      <c r="U51" s="209">
        <v>4697.3</v>
      </c>
      <c r="V51" s="259">
        <f t="shared" si="15"/>
        <v>39205.2</v>
      </c>
      <c r="W51" s="303">
        <v>2024</v>
      </c>
      <c r="X51" s="40">
        <f t="shared" si="2"/>
        <v>0</v>
      </c>
      <c r="Y51" s="40">
        <f t="shared" si="3"/>
        <v>0</v>
      </c>
      <c r="Z51" s="40">
        <f t="shared" si="5"/>
        <v>0</v>
      </c>
      <c r="AA51" s="37"/>
    </row>
    <row r="52" spans="1:26" ht="63.75">
      <c r="A52" s="36" t="s">
        <v>272</v>
      </c>
      <c r="B52" s="12">
        <v>1</v>
      </c>
      <c r="C52" s="12">
        <v>1</v>
      </c>
      <c r="D52" s="12">
        <v>1</v>
      </c>
      <c r="E52" s="12">
        <v>0</v>
      </c>
      <c r="F52" s="12">
        <v>5</v>
      </c>
      <c r="G52" s="57"/>
      <c r="H52" s="58" t="s">
        <v>302</v>
      </c>
      <c r="I52" s="21" t="s">
        <v>301</v>
      </c>
      <c r="J52" s="59">
        <v>174</v>
      </c>
      <c r="K52" s="59">
        <v>195</v>
      </c>
      <c r="L52" s="59">
        <v>184</v>
      </c>
      <c r="M52" s="190">
        <v>186</v>
      </c>
      <c r="N52" s="238">
        <v>196</v>
      </c>
      <c r="O52" s="238">
        <v>196</v>
      </c>
      <c r="P52" s="238">
        <v>196</v>
      </c>
      <c r="Q52" s="238">
        <v>196</v>
      </c>
      <c r="R52" s="238">
        <v>196</v>
      </c>
      <c r="S52" s="238">
        <v>196</v>
      </c>
      <c r="T52" s="238">
        <v>196</v>
      </c>
      <c r="U52" s="238">
        <v>196</v>
      </c>
      <c r="V52" s="260">
        <f>SUM(J52:U52)/9</f>
        <v>256</v>
      </c>
      <c r="W52" s="305">
        <v>2024</v>
      </c>
      <c r="X52" s="40">
        <f t="shared" si="2"/>
        <v>0</v>
      </c>
      <c r="Y52" s="40">
        <f t="shared" si="3"/>
        <v>0</v>
      </c>
      <c r="Z52" s="40">
        <f t="shared" si="5"/>
        <v>0</v>
      </c>
    </row>
    <row r="53" spans="1:27" s="50" customFormat="1" ht="76.5">
      <c r="A53" s="60" t="s">
        <v>272</v>
      </c>
      <c r="B53" s="17">
        <v>1</v>
      </c>
      <c r="C53" s="17">
        <v>1</v>
      </c>
      <c r="D53" s="17">
        <v>1</v>
      </c>
      <c r="E53" s="17">
        <v>0</v>
      </c>
      <c r="F53" s="17">
        <v>6</v>
      </c>
      <c r="G53" s="17"/>
      <c r="H53" s="53" t="s">
        <v>88</v>
      </c>
      <c r="I53" s="17" t="s">
        <v>273</v>
      </c>
      <c r="J53" s="7">
        <f>J54+J55</f>
        <v>7817.1</v>
      </c>
      <c r="K53" s="7">
        <f>K54+K55</f>
        <v>2082.4</v>
      </c>
      <c r="L53" s="7">
        <f>L54+L55</f>
        <v>2249.8</v>
      </c>
      <c r="M53" s="148">
        <f>M54+M55</f>
        <v>13297.2</v>
      </c>
      <c r="N53" s="213">
        <f aca="true" t="shared" si="20" ref="N53:S53">N54</f>
        <v>6750.8</v>
      </c>
      <c r="O53" s="213">
        <f t="shared" si="20"/>
        <v>6670.8</v>
      </c>
      <c r="P53" s="213">
        <f t="shared" si="20"/>
        <v>6750.8</v>
      </c>
      <c r="Q53" s="213">
        <f t="shared" si="20"/>
        <v>6750.9</v>
      </c>
      <c r="R53" s="213">
        <f t="shared" si="20"/>
        <v>6750.8</v>
      </c>
      <c r="S53" s="213">
        <f t="shared" si="20"/>
        <v>6750.8</v>
      </c>
      <c r="T53" s="213">
        <f>T54+T55</f>
        <v>6750.8</v>
      </c>
      <c r="U53" s="213">
        <f>U54+U55</f>
        <v>6750.8</v>
      </c>
      <c r="V53" s="216">
        <f>J53+K53+L53+M53+O53+Q53+S53+T53+U53</f>
        <v>59120.6</v>
      </c>
      <c r="W53" s="308">
        <v>2024</v>
      </c>
      <c r="X53" s="40">
        <f t="shared" si="2"/>
        <v>-80</v>
      </c>
      <c r="Y53" s="40">
        <f t="shared" si="3"/>
        <v>0.1</v>
      </c>
      <c r="Z53" s="40">
        <f t="shared" si="5"/>
        <v>0</v>
      </c>
      <c r="AA53" s="37"/>
    </row>
    <row r="54" spans="1:27" s="50" customFormat="1" ht="12.75">
      <c r="A54" s="36" t="s">
        <v>272</v>
      </c>
      <c r="B54" s="12">
        <v>1</v>
      </c>
      <c r="C54" s="12">
        <v>1</v>
      </c>
      <c r="D54" s="12">
        <v>1</v>
      </c>
      <c r="E54" s="12">
        <v>0</v>
      </c>
      <c r="F54" s="12">
        <v>6</v>
      </c>
      <c r="G54" s="12">
        <v>3</v>
      </c>
      <c r="H54" s="42" t="s">
        <v>274</v>
      </c>
      <c r="I54" s="12" t="s">
        <v>273</v>
      </c>
      <c r="J54" s="19">
        <v>7466.6</v>
      </c>
      <c r="K54" s="19">
        <v>1734.6</v>
      </c>
      <c r="L54" s="19">
        <v>2249.8</v>
      </c>
      <c r="M54" s="158">
        <v>8059.5</v>
      </c>
      <c r="N54" s="214">
        <v>6750.8</v>
      </c>
      <c r="O54" s="214">
        <v>6670.8</v>
      </c>
      <c r="P54" s="214">
        <v>6750.8</v>
      </c>
      <c r="Q54" s="214">
        <v>6750.9</v>
      </c>
      <c r="R54" s="209">
        <v>6750.8</v>
      </c>
      <c r="S54" s="209">
        <v>6750.8</v>
      </c>
      <c r="T54" s="209">
        <v>6750.8</v>
      </c>
      <c r="U54" s="209">
        <v>6750.8</v>
      </c>
      <c r="V54" s="259">
        <f>J54+K54+L54+M54+O54+Q54+S54+T54+U54</f>
        <v>53184.6</v>
      </c>
      <c r="W54" s="303">
        <v>2024</v>
      </c>
      <c r="X54" s="40">
        <f t="shared" si="2"/>
        <v>-80</v>
      </c>
      <c r="Y54" s="40">
        <f t="shared" si="3"/>
        <v>0.1</v>
      </c>
      <c r="Z54" s="40">
        <f t="shared" si="5"/>
        <v>0</v>
      </c>
      <c r="AA54" s="37"/>
    </row>
    <row r="55" spans="1:27" s="50" customFormat="1" ht="12.75">
      <c r="A55" s="36" t="s">
        <v>272</v>
      </c>
      <c r="B55" s="12">
        <v>1</v>
      </c>
      <c r="C55" s="12">
        <v>1</v>
      </c>
      <c r="D55" s="12">
        <v>1</v>
      </c>
      <c r="E55" s="12">
        <v>0</v>
      </c>
      <c r="F55" s="12">
        <v>6</v>
      </c>
      <c r="G55" s="12">
        <v>2</v>
      </c>
      <c r="H55" s="42" t="s">
        <v>275</v>
      </c>
      <c r="I55" s="12" t="s">
        <v>273</v>
      </c>
      <c r="J55" s="19">
        <v>350.5</v>
      </c>
      <c r="K55" s="19">
        <v>347.8</v>
      </c>
      <c r="L55" s="19">
        <v>0</v>
      </c>
      <c r="M55" s="158">
        <v>5237.7</v>
      </c>
      <c r="N55" s="214">
        <v>0</v>
      </c>
      <c r="O55" s="214">
        <v>0</v>
      </c>
      <c r="P55" s="214">
        <v>0</v>
      </c>
      <c r="Q55" s="214">
        <v>0</v>
      </c>
      <c r="R55" s="209">
        <v>0</v>
      </c>
      <c r="S55" s="209">
        <v>0</v>
      </c>
      <c r="T55" s="209">
        <v>0</v>
      </c>
      <c r="U55" s="209">
        <v>0</v>
      </c>
      <c r="V55" s="259">
        <f>J55+K55+L55+M55+O55+Q55+S55+T55+U55</f>
        <v>5936</v>
      </c>
      <c r="W55" s="303">
        <v>2017</v>
      </c>
      <c r="X55" s="40">
        <f t="shared" si="2"/>
        <v>0</v>
      </c>
      <c r="Y55" s="40">
        <f t="shared" si="3"/>
        <v>0</v>
      </c>
      <c r="Z55" s="40">
        <f t="shared" si="5"/>
        <v>0</v>
      </c>
      <c r="AA55" s="37"/>
    </row>
    <row r="56" spans="1:26" ht="63.75">
      <c r="A56" s="36" t="s">
        <v>272</v>
      </c>
      <c r="B56" s="12">
        <v>1</v>
      </c>
      <c r="C56" s="12">
        <v>1</v>
      </c>
      <c r="D56" s="12">
        <v>1</v>
      </c>
      <c r="E56" s="12">
        <v>0</v>
      </c>
      <c r="F56" s="12">
        <v>6</v>
      </c>
      <c r="G56" s="12"/>
      <c r="H56" s="58" t="s">
        <v>42</v>
      </c>
      <c r="I56" s="14" t="s">
        <v>21</v>
      </c>
      <c r="J56" s="1">
        <v>2</v>
      </c>
      <c r="K56" s="1">
        <v>4</v>
      </c>
      <c r="L56" s="1">
        <v>3</v>
      </c>
      <c r="M56" s="189">
        <v>12</v>
      </c>
      <c r="N56" s="237">
        <v>5</v>
      </c>
      <c r="O56" s="215">
        <v>5</v>
      </c>
      <c r="P56" s="215">
        <v>5</v>
      </c>
      <c r="Q56" s="215">
        <v>5</v>
      </c>
      <c r="R56" s="267">
        <v>5</v>
      </c>
      <c r="S56" s="267">
        <v>5</v>
      </c>
      <c r="T56" s="267">
        <v>5</v>
      </c>
      <c r="U56" s="267">
        <v>5</v>
      </c>
      <c r="V56" s="260">
        <v>5</v>
      </c>
      <c r="W56" s="305">
        <v>2024</v>
      </c>
      <c r="X56" s="40">
        <f t="shared" si="2"/>
        <v>0</v>
      </c>
      <c r="Y56" s="40">
        <f t="shared" si="3"/>
        <v>0</v>
      </c>
      <c r="Z56" s="40">
        <f t="shared" si="5"/>
        <v>0</v>
      </c>
    </row>
    <row r="57" spans="1:26" ht="76.5">
      <c r="A57" s="36" t="s">
        <v>272</v>
      </c>
      <c r="B57" s="12">
        <v>1</v>
      </c>
      <c r="C57" s="12">
        <v>1</v>
      </c>
      <c r="D57" s="12">
        <v>1</v>
      </c>
      <c r="E57" s="12">
        <v>0</v>
      </c>
      <c r="F57" s="12">
        <v>6</v>
      </c>
      <c r="G57" s="12"/>
      <c r="H57" s="58" t="s">
        <v>248</v>
      </c>
      <c r="I57" s="14" t="s">
        <v>21</v>
      </c>
      <c r="J57" s="1">
        <v>5</v>
      </c>
      <c r="K57" s="1">
        <v>2</v>
      </c>
      <c r="L57" s="1">
        <v>0</v>
      </c>
      <c r="M57" s="189">
        <v>5</v>
      </c>
      <c r="N57" s="215">
        <v>5</v>
      </c>
      <c r="O57" s="215">
        <v>5</v>
      </c>
      <c r="P57" s="215">
        <v>5</v>
      </c>
      <c r="Q57" s="215">
        <v>5</v>
      </c>
      <c r="R57" s="267">
        <v>5</v>
      </c>
      <c r="S57" s="267">
        <v>5</v>
      </c>
      <c r="T57" s="267">
        <v>5</v>
      </c>
      <c r="U57" s="267">
        <v>5</v>
      </c>
      <c r="V57" s="260">
        <v>5</v>
      </c>
      <c r="W57" s="305">
        <v>2024</v>
      </c>
      <c r="X57" s="40">
        <f t="shared" si="2"/>
        <v>0</v>
      </c>
      <c r="Y57" s="40">
        <f t="shared" si="3"/>
        <v>0</v>
      </c>
      <c r="Z57" s="40">
        <f t="shared" si="5"/>
        <v>0</v>
      </c>
    </row>
    <row r="58" spans="1:26" ht="51">
      <c r="A58" s="36" t="s">
        <v>272</v>
      </c>
      <c r="B58" s="12">
        <v>1</v>
      </c>
      <c r="C58" s="12">
        <v>1</v>
      </c>
      <c r="D58" s="12">
        <v>1</v>
      </c>
      <c r="E58" s="12">
        <v>0</v>
      </c>
      <c r="F58" s="12">
        <v>6</v>
      </c>
      <c r="G58" s="12"/>
      <c r="H58" s="58" t="s">
        <v>41</v>
      </c>
      <c r="I58" s="14" t="s">
        <v>21</v>
      </c>
      <c r="J58" s="1">
        <v>8</v>
      </c>
      <c r="K58" s="1">
        <v>2</v>
      </c>
      <c r="L58" s="1">
        <v>29</v>
      </c>
      <c r="M58" s="189">
        <v>29</v>
      </c>
      <c r="N58" s="237">
        <v>29</v>
      </c>
      <c r="O58" s="215">
        <v>29</v>
      </c>
      <c r="P58" s="237">
        <v>29</v>
      </c>
      <c r="Q58" s="215">
        <v>29</v>
      </c>
      <c r="R58" s="237">
        <v>29</v>
      </c>
      <c r="S58" s="215">
        <v>29</v>
      </c>
      <c r="T58" s="215">
        <v>29</v>
      </c>
      <c r="U58" s="215">
        <v>29</v>
      </c>
      <c r="V58" s="260">
        <v>29</v>
      </c>
      <c r="W58" s="305">
        <v>2024</v>
      </c>
      <c r="X58" s="40">
        <f t="shared" si="2"/>
        <v>0</v>
      </c>
      <c r="Y58" s="40">
        <f t="shared" si="3"/>
        <v>0</v>
      </c>
      <c r="Z58" s="40">
        <f t="shared" si="5"/>
        <v>0</v>
      </c>
    </row>
    <row r="59" spans="1:26" ht="76.5">
      <c r="A59" s="36" t="s">
        <v>272</v>
      </c>
      <c r="B59" s="12">
        <v>1</v>
      </c>
      <c r="C59" s="12">
        <v>1</v>
      </c>
      <c r="D59" s="12">
        <v>1</v>
      </c>
      <c r="E59" s="12">
        <v>0</v>
      </c>
      <c r="F59" s="12">
        <v>6</v>
      </c>
      <c r="G59" s="14"/>
      <c r="H59" s="58" t="s">
        <v>53</v>
      </c>
      <c r="I59" s="14" t="s">
        <v>312</v>
      </c>
      <c r="J59" s="59">
        <v>28</v>
      </c>
      <c r="K59" s="59">
        <v>8</v>
      </c>
      <c r="L59" s="59">
        <v>0</v>
      </c>
      <c r="M59" s="190">
        <v>0</v>
      </c>
      <c r="N59" s="238">
        <v>0</v>
      </c>
      <c r="O59" s="238">
        <v>0</v>
      </c>
      <c r="P59" s="238">
        <v>0</v>
      </c>
      <c r="Q59" s="238">
        <v>0</v>
      </c>
      <c r="R59" s="268">
        <v>0</v>
      </c>
      <c r="S59" s="268">
        <v>0</v>
      </c>
      <c r="T59" s="268">
        <v>0</v>
      </c>
      <c r="U59" s="268">
        <v>0</v>
      </c>
      <c r="V59" s="310">
        <v>28</v>
      </c>
      <c r="W59" s="310">
        <v>2017</v>
      </c>
      <c r="X59" s="40">
        <f t="shared" si="2"/>
        <v>0</v>
      </c>
      <c r="Y59" s="40">
        <f t="shared" si="3"/>
        <v>0</v>
      </c>
      <c r="Z59" s="40">
        <f t="shared" si="5"/>
        <v>0</v>
      </c>
    </row>
    <row r="60" spans="1:27" s="50" customFormat="1" ht="76.5">
      <c r="A60" s="51" t="s">
        <v>272</v>
      </c>
      <c r="B60" s="17">
        <v>1</v>
      </c>
      <c r="C60" s="17">
        <v>1</v>
      </c>
      <c r="D60" s="17">
        <v>1</v>
      </c>
      <c r="E60" s="17">
        <v>0</v>
      </c>
      <c r="F60" s="17">
        <v>7</v>
      </c>
      <c r="G60" s="17"/>
      <c r="H60" s="53" t="s">
        <v>89</v>
      </c>
      <c r="I60" s="17" t="s">
        <v>273</v>
      </c>
      <c r="J60" s="7">
        <f aca="true" t="shared" si="21" ref="J60:U60">J61</f>
        <v>25</v>
      </c>
      <c r="K60" s="7">
        <f t="shared" si="21"/>
        <v>25</v>
      </c>
      <c r="L60" s="7">
        <f t="shared" si="21"/>
        <v>25</v>
      </c>
      <c r="M60" s="148">
        <f t="shared" si="21"/>
        <v>25</v>
      </c>
      <c r="N60" s="213">
        <f t="shared" si="21"/>
        <v>25</v>
      </c>
      <c r="O60" s="213">
        <f t="shared" si="21"/>
        <v>25</v>
      </c>
      <c r="P60" s="213">
        <f t="shared" si="21"/>
        <v>25</v>
      </c>
      <c r="Q60" s="213">
        <f t="shared" si="21"/>
        <v>25</v>
      </c>
      <c r="R60" s="213">
        <f t="shared" si="21"/>
        <v>25</v>
      </c>
      <c r="S60" s="213">
        <f t="shared" si="21"/>
        <v>25</v>
      </c>
      <c r="T60" s="213">
        <f t="shared" si="21"/>
        <v>25</v>
      </c>
      <c r="U60" s="213">
        <f t="shared" si="21"/>
        <v>25</v>
      </c>
      <c r="V60" s="216">
        <f>J60+K60+L60+M60+O60+Q60+S60+T60+U60</f>
        <v>225</v>
      </c>
      <c r="W60" s="308">
        <v>2024</v>
      </c>
      <c r="X60" s="40">
        <f t="shared" si="2"/>
        <v>0</v>
      </c>
      <c r="Y60" s="40">
        <f t="shared" si="3"/>
        <v>0</v>
      </c>
      <c r="Z60" s="40">
        <f t="shared" si="5"/>
        <v>0</v>
      </c>
      <c r="AA60" s="37"/>
    </row>
    <row r="61" spans="1:27" s="50" customFormat="1" ht="12.75">
      <c r="A61" s="36" t="s">
        <v>272</v>
      </c>
      <c r="B61" s="12">
        <v>1</v>
      </c>
      <c r="C61" s="12">
        <v>1</v>
      </c>
      <c r="D61" s="12">
        <v>1</v>
      </c>
      <c r="E61" s="12">
        <v>0</v>
      </c>
      <c r="F61" s="12">
        <v>7</v>
      </c>
      <c r="G61" s="12">
        <v>3</v>
      </c>
      <c r="H61" s="42" t="s">
        <v>274</v>
      </c>
      <c r="I61" s="12" t="s">
        <v>273</v>
      </c>
      <c r="J61" s="19">
        <v>25</v>
      </c>
      <c r="K61" s="19">
        <v>25</v>
      </c>
      <c r="L61" s="19">
        <v>25</v>
      </c>
      <c r="M61" s="158">
        <v>25</v>
      </c>
      <c r="N61" s="214">
        <v>25</v>
      </c>
      <c r="O61" s="214">
        <v>25</v>
      </c>
      <c r="P61" s="214">
        <v>25</v>
      </c>
      <c r="Q61" s="214">
        <v>25</v>
      </c>
      <c r="R61" s="209">
        <v>25</v>
      </c>
      <c r="S61" s="209">
        <v>25</v>
      </c>
      <c r="T61" s="209">
        <v>25</v>
      </c>
      <c r="U61" s="209">
        <v>25</v>
      </c>
      <c r="V61" s="217">
        <f>J61+K61+L61+M61+O61+Q61+S61+T61+U61</f>
        <v>225</v>
      </c>
      <c r="W61" s="303">
        <v>2024</v>
      </c>
      <c r="X61" s="40">
        <f t="shared" si="2"/>
        <v>0</v>
      </c>
      <c r="Y61" s="40">
        <f t="shared" si="3"/>
        <v>0</v>
      </c>
      <c r="Z61" s="40">
        <f t="shared" si="5"/>
        <v>0</v>
      </c>
      <c r="AA61" s="37"/>
    </row>
    <row r="62" spans="1:26" ht="76.5">
      <c r="A62" s="36" t="s">
        <v>272</v>
      </c>
      <c r="B62" s="12">
        <v>1</v>
      </c>
      <c r="C62" s="12">
        <v>1</v>
      </c>
      <c r="D62" s="12">
        <v>1</v>
      </c>
      <c r="E62" s="12">
        <v>0</v>
      </c>
      <c r="F62" s="12">
        <v>7</v>
      </c>
      <c r="G62" s="14"/>
      <c r="H62" s="58" t="s">
        <v>304</v>
      </c>
      <c r="I62" s="14" t="s">
        <v>278</v>
      </c>
      <c r="J62" s="25">
        <v>7</v>
      </c>
      <c r="K62" s="25">
        <v>3</v>
      </c>
      <c r="L62" s="25">
        <v>3</v>
      </c>
      <c r="M62" s="156">
        <v>3.5</v>
      </c>
      <c r="N62" s="210">
        <v>3</v>
      </c>
      <c r="O62" s="210">
        <v>3</v>
      </c>
      <c r="P62" s="210">
        <v>3</v>
      </c>
      <c r="Q62" s="210">
        <v>3</v>
      </c>
      <c r="R62" s="207">
        <v>3</v>
      </c>
      <c r="S62" s="207">
        <v>3</v>
      </c>
      <c r="T62" s="207">
        <v>3</v>
      </c>
      <c r="U62" s="207">
        <v>3</v>
      </c>
      <c r="V62" s="222">
        <v>3</v>
      </c>
      <c r="W62" s="305">
        <v>2024</v>
      </c>
      <c r="X62" s="40">
        <f t="shared" si="2"/>
        <v>0</v>
      </c>
      <c r="Y62" s="40">
        <f t="shared" si="3"/>
        <v>0</v>
      </c>
      <c r="Z62" s="40">
        <f t="shared" si="5"/>
        <v>0</v>
      </c>
    </row>
    <row r="63" spans="1:26" ht="76.5">
      <c r="A63" s="36" t="s">
        <v>272</v>
      </c>
      <c r="B63" s="12">
        <v>1</v>
      </c>
      <c r="C63" s="12">
        <v>1</v>
      </c>
      <c r="D63" s="12">
        <v>1</v>
      </c>
      <c r="E63" s="12">
        <v>0</v>
      </c>
      <c r="F63" s="12">
        <v>7</v>
      </c>
      <c r="G63" s="14"/>
      <c r="H63" s="58" t="s">
        <v>46</v>
      </c>
      <c r="I63" s="14" t="s">
        <v>312</v>
      </c>
      <c r="J63" s="56">
        <v>0</v>
      </c>
      <c r="K63" s="56">
        <v>0</v>
      </c>
      <c r="L63" s="56">
        <v>3</v>
      </c>
      <c r="M63" s="191">
        <v>8</v>
      </c>
      <c r="N63" s="212">
        <v>2</v>
      </c>
      <c r="O63" s="212">
        <v>2</v>
      </c>
      <c r="P63" s="212">
        <v>3</v>
      </c>
      <c r="Q63" s="212">
        <v>3</v>
      </c>
      <c r="R63" s="269">
        <v>3</v>
      </c>
      <c r="S63" s="269">
        <v>3</v>
      </c>
      <c r="T63" s="269">
        <v>3</v>
      </c>
      <c r="U63" s="269">
        <v>3</v>
      </c>
      <c r="V63" s="272">
        <f>J63+K63+L63+M63+O63+Q63+S63+T63+U63</f>
        <v>25</v>
      </c>
      <c r="W63" s="305">
        <v>2024</v>
      </c>
      <c r="X63" s="40">
        <f t="shared" si="2"/>
        <v>0</v>
      </c>
      <c r="Y63" s="40">
        <f t="shared" si="3"/>
        <v>0</v>
      </c>
      <c r="Z63" s="40">
        <f t="shared" si="5"/>
        <v>0</v>
      </c>
    </row>
    <row r="64" spans="1:27" s="50" customFormat="1" ht="25.5">
      <c r="A64" s="48" t="s">
        <v>272</v>
      </c>
      <c r="B64" s="11">
        <v>1</v>
      </c>
      <c r="C64" s="11">
        <v>1</v>
      </c>
      <c r="D64" s="11">
        <v>2</v>
      </c>
      <c r="E64" s="11">
        <v>0</v>
      </c>
      <c r="F64" s="11">
        <v>0</v>
      </c>
      <c r="G64" s="11"/>
      <c r="H64" s="49" t="s">
        <v>305</v>
      </c>
      <c r="I64" s="11" t="s">
        <v>273</v>
      </c>
      <c r="J64" s="10">
        <f aca="true" t="shared" si="22" ref="J64:U64">J65+J66</f>
        <v>1267029.1</v>
      </c>
      <c r="K64" s="10">
        <f t="shared" si="22"/>
        <v>1278139.6</v>
      </c>
      <c r="L64" s="10">
        <f t="shared" si="22"/>
        <v>1436722.5</v>
      </c>
      <c r="M64" s="157">
        <f t="shared" si="22"/>
        <v>1585187.6</v>
      </c>
      <c r="N64" s="208">
        <f t="shared" si="22"/>
        <v>1640141</v>
      </c>
      <c r="O64" s="208">
        <f t="shared" si="22"/>
        <v>1687281.2</v>
      </c>
      <c r="P64" s="208">
        <f t="shared" si="22"/>
        <v>1742593.9</v>
      </c>
      <c r="Q64" s="208">
        <f t="shared" si="22"/>
        <v>1816530.2</v>
      </c>
      <c r="R64" s="208">
        <f t="shared" si="22"/>
        <v>1749673</v>
      </c>
      <c r="S64" s="208">
        <f t="shared" si="22"/>
        <v>1940393.1</v>
      </c>
      <c r="T64" s="208">
        <f t="shared" si="22"/>
        <v>1749750.6</v>
      </c>
      <c r="U64" s="208">
        <f t="shared" si="22"/>
        <v>1749750.6</v>
      </c>
      <c r="V64" s="218">
        <f>J64+K64+L64+M64+O64+Q64+S64+T64+U64</f>
        <v>14510784.5</v>
      </c>
      <c r="W64" s="306">
        <v>2024</v>
      </c>
      <c r="X64" s="40">
        <f t="shared" si="2"/>
        <v>47140.2</v>
      </c>
      <c r="Y64" s="40">
        <f t="shared" si="3"/>
        <v>73936.3</v>
      </c>
      <c r="Z64" s="40">
        <f t="shared" si="5"/>
        <v>190720.1</v>
      </c>
      <c r="AA64" s="37"/>
    </row>
    <row r="65" spans="1:27" s="50" customFormat="1" ht="12.75">
      <c r="A65" s="62" t="s">
        <v>272</v>
      </c>
      <c r="B65" s="12">
        <v>1</v>
      </c>
      <c r="C65" s="12">
        <v>1</v>
      </c>
      <c r="D65" s="12">
        <v>2</v>
      </c>
      <c r="E65" s="12">
        <v>0</v>
      </c>
      <c r="F65" s="12">
        <v>0</v>
      </c>
      <c r="G65" s="12">
        <v>3</v>
      </c>
      <c r="H65" s="42" t="s">
        <v>274</v>
      </c>
      <c r="I65" s="12" t="s">
        <v>273</v>
      </c>
      <c r="J65" s="19">
        <v>298339.8</v>
      </c>
      <c r="K65" s="19">
        <f aca="true" t="shared" si="23" ref="K65:U65">K73+K82+K87</f>
        <v>300286.1</v>
      </c>
      <c r="L65" s="19">
        <f t="shared" si="23"/>
        <v>330533.9</v>
      </c>
      <c r="M65" s="158">
        <f t="shared" si="23"/>
        <v>401689.9</v>
      </c>
      <c r="N65" s="209">
        <f t="shared" si="23"/>
        <v>399638.7</v>
      </c>
      <c r="O65" s="209">
        <f t="shared" si="23"/>
        <v>399768.7</v>
      </c>
      <c r="P65" s="209">
        <f t="shared" si="23"/>
        <v>399084.1</v>
      </c>
      <c r="Q65" s="209">
        <f t="shared" si="23"/>
        <v>399084.1</v>
      </c>
      <c r="R65" s="209">
        <f t="shared" si="23"/>
        <v>406163.2</v>
      </c>
      <c r="S65" s="209">
        <f t="shared" si="23"/>
        <v>406163.2</v>
      </c>
      <c r="T65" s="209">
        <f t="shared" si="23"/>
        <v>406240.8</v>
      </c>
      <c r="U65" s="209">
        <f t="shared" si="23"/>
        <v>406240.8</v>
      </c>
      <c r="V65" s="259">
        <f>J65+K65+L65+M65+O65+Q65+S65+T65+U65</f>
        <v>3348347.3</v>
      </c>
      <c r="W65" s="303">
        <v>2024</v>
      </c>
      <c r="X65" s="40">
        <f t="shared" si="2"/>
        <v>130</v>
      </c>
      <c r="Y65" s="40">
        <f t="shared" si="3"/>
        <v>0</v>
      </c>
      <c r="Z65" s="40">
        <f t="shared" si="5"/>
        <v>0</v>
      </c>
      <c r="AA65" s="37"/>
    </row>
    <row r="66" spans="1:27" s="50" customFormat="1" ht="12.75">
      <c r="A66" s="62" t="s">
        <v>272</v>
      </c>
      <c r="B66" s="12">
        <v>1</v>
      </c>
      <c r="C66" s="12">
        <v>1</v>
      </c>
      <c r="D66" s="12">
        <v>2</v>
      </c>
      <c r="E66" s="12">
        <v>0</v>
      </c>
      <c r="F66" s="12">
        <v>0</v>
      </c>
      <c r="G66" s="12">
        <v>2</v>
      </c>
      <c r="H66" s="42" t="s">
        <v>275</v>
      </c>
      <c r="I66" s="12" t="s">
        <v>273</v>
      </c>
      <c r="J66" s="19">
        <f>J74</f>
        <v>968689.3</v>
      </c>
      <c r="K66" s="19">
        <f>K74</f>
        <v>977853.5</v>
      </c>
      <c r="L66" s="19">
        <f aca="true" t="shared" si="24" ref="L66:U66">L74+L88</f>
        <v>1106188.6</v>
      </c>
      <c r="M66" s="158">
        <f t="shared" si="24"/>
        <v>1183497.7</v>
      </c>
      <c r="N66" s="209">
        <f t="shared" si="24"/>
        <v>1240502.3</v>
      </c>
      <c r="O66" s="209">
        <f t="shared" si="24"/>
        <v>1287512.5</v>
      </c>
      <c r="P66" s="209">
        <f t="shared" si="24"/>
        <v>1343509.8</v>
      </c>
      <c r="Q66" s="209">
        <f t="shared" si="24"/>
        <v>1417446.1</v>
      </c>
      <c r="R66" s="209">
        <f t="shared" si="24"/>
        <v>1343509.8</v>
      </c>
      <c r="S66" s="209">
        <f t="shared" si="24"/>
        <v>1534229.9</v>
      </c>
      <c r="T66" s="209">
        <f t="shared" si="24"/>
        <v>1343509.8</v>
      </c>
      <c r="U66" s="209">
        <f t="shared" si="24"/>
        <v>1343509.8</v>
      </c>
      <c r="V66" s="259">
        <f>J66+K66+L66+M66+O66+Q66+S66+T66+U66</f>
        <v>11162437.2</v>
      </c>
      <c r="W66" s="303">
        <v>2024</v>
      </c>
      <c r="X66" s="40">
        <f t="shared" si="2"/>
        <v>47010.2</v>
      </c>
      <c r="Y66" s="40">
        <f t="shared" si="3"/>
        <v>73936.3</v>
      </c>
      <c r="Z66" s="40">
        <f t="shared" si="5"/>
        <v>190720.1</v>
      </c>
      <c r="AA66" s="37"/>
    </row>
    <row r="67" spans="1:26" ht="102">
      <c r="A67" s="36" t="s">
        <v>272</v>
      </c>
      <c r="B67" s="12">
        <v>1</v>
      </c>
      <c r="C67" s="12">
        <v>1</v>
      </c>
      <c r="D67" s="12">
        <v>2</v>
      </c>
      <c r="E67" s="12">
        <v>0</v>
      </c>
      <c r="F67" s="12">
        <v>0</v>
      </c>
      <c r="G67" s="14"/>
      <c r="H67" s="63" t="s">
        <v>155</v>
      </c>
      <c r="I67" s="14" t="s">
        <v>278</v>
      </c>
      <c r="J67" s="25">
        <v>98.6</v>
      </c>
      <c r="K67" s="25">
        <v>99.6</v>
      </c>
      <c r="L67" s="25">
        <v>100</v>
      </c>
      <c r="M67" s="141">
        <v>100</v>
      </c>
      <c r="N67" s="210">
        <v>99.7</v>
      </c>
      <c r="O67" s="210">
        <v>99.7</v>
      </c>
      <c r="P67" s="210">
        <v>99.8</v>
      </c>
      <c r="Q67" s="210">
        <v>99.8</v>
      </c>
      <c r="R67" s="210">
        <v>99.8</v>
      </c>
      <c r="S67" s="210">
        <v>99.8</v>
      </c>
      <c r="T67" s="210">
        <v>99.9</v>
      </c>
      <c r="U67" s="210">
        <v>100</v>
      </c>
      <c r="V67" s="221">
        <v>100</v>
      </c>
      <c r="W67" s="305">
        <v>2024</v>
      </c>
      <c r="X67" s="40">
        <f t="shared" si="2"/>
        <v>0</v>
      </c>
      <c r="Y67" s="40">
        <f t="shared" si="3"/>
        <v>0</v>
      </c>
      <c r="Z67" s="40">
        <f t="shared" si="5"/>
        <v>0</v>
      </c>
    </row>
    <row r="68" spans="1:26" ht="107.25" customHeight="1">
      <c r="A68" s="36" t="s">
        <v>272</v>
      </c>
      <c r="B68" s="12">
        <v>1</v>
      </c>
      <c r="C68" s="12">
        <v>1</v>
      </c>
      <c r="D68" s="12">
        <v>2</v>
      </c>
      <c r="E68" s="12">
        <v>0</v>
      </c>
      <c r="F68" s="12">
        <v>0</v>
      </c>
      <c r="G68" s="14"/>
      <c r="H68" s="63" t="s">
        <v>156</v>
      </c>
      <c r="I68" s="14" t="s">
        <v>278</v>
      </c>
      <c r="J68" s="25">
        <v>93.6</v>
      </c>
      <c r="K68" s="25">
        <v>95.2</v>
      </c>
      <c r="L68" s="25">
        <v>99.1</v>
      </c>
      <c r="M68" s="156">
        <v>99.9</v>
      </c>
      <c r="N68" s="210">
        <v>99.4</v>
      </c>
      <c r="O68" s="210">
        <v>99.4</v>
      </c>
      <c r="P68" s="210">
        <v>99.6</v>
      </c>
      <c r="Q68" s="210">
        <v>99.6</v>
      </c>
      <c r="R68" s="207">
        <v>99.6</v>
      </c>
      <c r="S68" s="207">
        <v>99.6</v>
      </c>
      <c r="T68" s="207">
        <v>99.6</v>
      </c>
      <c r="U68" s="207">
        <v>99.7</v>
      </c>
      <c r="V68" s="222">
        <v>99.7</v>
      </c>
      <c r="W68" s="305">
        <v>2024</v>
      </c>
      <c r="X68" s="40">
        <f t="shared" si="2"/>
        <v>0</v>
      </c>
      <c r="Y68" s="40">
        <f t="shared" si="3"/>
        <v>0</v>
      </c>
      <c r="Z68" s="40">
        <f t="shared" si="5"/>
        <v>0</v>
      </c>
    </row>
    <row r="69" spans="1:26" ht="76.5">
      <c r="A69" s="36" t="s">
        <v>272</v>
      </c>
      <c r="B69" s="12">
        <v>1</v>
      </c>
      <c r="C69" s="12">
        <v>1</v>
      </c>
      <c r="D69" s="12">
        <v>2</v>
      </c>
      <c r="E69" s="12">
        <v>0</v>
      </c>
      <c r="F69" s="12">
        <v>0</v>
      </c>
      <c r="G69" s="14"/>
      <c r="H69" s="63" t="s">
        <v>306</v>
      </c>
      <c r="I69" s="14" t="s">
        <v>278</v>
      </c>
      <c r="J69" s="25">
        <v>100</v>
      </c>
      <c r="K69" s="25">
        <v>100</v>
      </c>
      <c r="L69" s="25">
        <v>100</v>
      </c>
      <c r="M69" s="156">
        <v>100</v>
      </c>
      <c r="N69" s="210">
        <v>100</v>
      </c>
      <c r="O69" s="210">
        <v>100</v>
      </c>
      <c r="P69" s="210">
        <v>100</v>
      </c>
      <c r="Q69" s="210">
        <v>100</v>
      </c>
      <c r="R69" s="207">
        <v>100</v>
      </c>
      <c r="S69" s="207">
        <v>100</v>
      </c>
      <c r="T69" s="207">
        <v>100</v>
      </c>
      <c r="U69" s="207">
        <v>100</v>
      </c>
      <c r="V69" s="222">
        <v>100</v>
      </c>
      <c r="W69" s="305">
        <v>2024</v>
      </c>
      <c r="X69" s="40">
        <f t="shared" si="2"/>
        <v>0</v>
      </c>
      <c r="Y69" s="40">
        <f t="shared" si="3"/>
        <v>0</v>
      </c>
      <c r="Z69" s="40">
        <f t="shared" si="5"/>
        <v>0</v>
      </c>
    </row>
    <row r="70" spans="1:26" ht="51">
      <c r="A70" s="51" t="s">
        <v>272</v>
      </c>
      <c r="B70" s="17">
        <v>1</v>
      </c>
      <c r="C70" s="17">
        <v>1</v>
      </c>
      <c r="D70" s="17">
        <v>2</v>
      </c>
      <c r="E70" s="17">
        <v>0</v>
      </c>
      <c r="F70" s="17">
        <v>1</v>
      </c>
      <c r="G70" s="20"/>
      <c r="H70" s="52" t="s">
        <v>281</v>
      </c>
      <c r="I70" s="20" t="s">
        <v>297</v>
      </c>
      <c r="J70" s="23" t="s">
        <v>298</v>
      </c>
      <c r="K70" s="23" t="s">
        <v>298</v>
      </c>
      <c r="L70" s="23" t="s">
        <v>298</v>
      </c>
      <c r="M70" s="143" t="s">
        <v>298</v>
      </c>
      <c r="N70" s="230" t="s">
        <v>298</v>
      </c>
      <c r="O70" s="230" t="s">
        <v>298</v>
      </c>
      <c r="P70" s="230" t="s">
        <v>298</v>
      </c>
      <c r="Q70" s="230" t="s">
        <v>298</v>
      </c>
      <c r="R70" s="230" t="s">
        <v>298</v>
      </c>
      <c r="S70" s="230" t="s">
        <v>298</v>
      </c>
      <c r="T70" s="230" t="s">
        <v>298</v>
      </c>
      <c r="U70" s="230" t="s">
        <v>298</v>
      </c>
      <c r="V70" s="230" t="s">
        <v>298</v>
      </c>
      <c r="W70" s="307">
        <v>2024</v>
      </c>
      <c r="X70" s="40"/>
      <c r="Y70" s="40"/>
      <c r="Z70" s="40"/>
    </row>
    <row r="71" spans="1:26" ht="51">
      <c r="A71" s="36" t="s">
        <v>272</v>
      </c>
      <c r="B71" s="12">
        <v>1</v>
      </c>
      <c r="C71" s="12">
        <v>1</v>
      </c>
      <c r="D71" s="12">
        <v>2</v>
      </c>
      <c r="E71" s="12">
        <v>0</v>
      </c>
      <c r="F71" s="12">
        <v>1</v>
      </c>
      <c r="G71" s="14"/>
      <c r="H71" s="63" t="s">
        <v>307</v>
      </c>
      <c r="I71" s="21" t="s">
        <v>278</v>
      </c>
      <c r="J71" s="25">
        <v>100</v>
      </c>
      <c r="K71" s="25">
        <v>100</v>
      </c>
      <c r="L71" s="25">
        <v>100</v>
      </c>
      <c r="M71" s="156">
        <v>100</v>
      </c>
      <c r="N71" s="210">
        <v>100</v>
      </c>
      <c r="O71" s="210">
        <v>100</v>
      </c>
      <c r="P71" s="210">
        <v>100</v>
      </c>
      <c r="Q71" s="210">
        <v>100</v>
      </c>
      <c r="R71" s="207">
        <v>100</v>
      </c>
      <c r="S71" s="207">
        <v>100</v>
      </c>
      <c r="T71" s="207">
        <v>100</v>
      </c>
      <c r="U71" s="207">
        <v>100</v>
      </c>
      <c r="V71" s="222">
        <v>100</v>
      </c>
      <c r="W71" s="305">
        <v>2024</v>
      </c>
      <c r="X71" s="40">
        <f t="shared" si="2"/>
        <v>0</v>
      </c>
      <c r="Y71" s="40">
        <f t="shared" si="3"/>
        <v>0</v>
      </c>
      <c r="Z71" s="40">
        <f t="shared" si="5"/>
        <v>0</v>
      </c>
    </row>
    <row r="72" spans="1:27" s="50" customFormat="1" ht="51">
      <c r="A72" s="51" t="s">
        <v>272</v>
      </c>
      <c r="B72" s="17">
        <v>1</v>
      </c>
      <c r="C72" s="17">
        <v>1</v>
      </c>
      <c r="D72" s="17">
        <v>2</v>
      </c>
      <c r="E72" s="17">
        <v>0</v>
      </c>
      <c r="F72" s="17">
        <v>2</v>
      </c>
      <c r="G72" s="17"/>
      <c r="H72" s="53" t="s">
        <v>90</v>
      </c>
      <c r="I72" s="17" t="s">
        <v>273</v>
      </c>
      <c r="J72" s="7">
        <f aca="true" t="shared" si="25" ref="J72:U72">J73+J74</f>
        <v>1251949.6</v>
      </c>
      <c r="K72" s="7">
        <f t="shared" si="25"/>
        <v>1249414</v>
      </c>
      <c r="L72" s="7">
        <f t="shared" si="25"/>
        <v>1405865.5</v>
      </c>
      <c r="M72" s="148">
        <f t="shared" si="25"/>
        <v>1546991.8</v>
      </c>
      <c r="N72" s="213">
        <f t="shared" si="25"/>
        <v>1601805.6</v>
      </c>
      <c r="O72" s="213">
        <f t="shared" si="25"/>
        <v>1648815.8</v>
      </c>
      <c r="P72" s="213">
        <f t="shared" si="25"/>
        <v>1704258.5</v>
      </c>
      <c r="Q72" s="213">
        <f t="shared" si="25"/>
        <v>1778194.8</v>
      </c>
      <c r="R72" s="213">
        <f t="shared" si="25"/>
        <v>1711337.6</v>
      </c>
      <c r="S72" s="213">
        <f t="shared" si="25"/>
        <v>1902057.7</v>
      </c>
      <c r="T72" s="213">
        <f t="shared" si="25"/>
        <v>1711415.2</v>
      </c>
      <c r="U72" s="213">
        <f t="shared" si="25"/>
        <v>1711415.2</v>
      </c>
      <c r="V72" s="216">
        <f>J72+K72+L72+M72+O72+Q72+S72+T72+U72</f>
        <v>14206119.6</v>
      </c>
      <c r="W72" s="308">
        <v>2024</v>
      </c>
      <c r="X72" s="40">
        <f t="shared" si="2"/>
        <v>47010.2</v>
      </c>
      <c r="Y72" s="40">
        <f t="shared" si="3"/>
        <v>73936.3</v>
      </c>
      <c r="Z72" s="40">
        <f t="shared" si="5"/>
        <v>190720.1</v>
      </c>
      <c r="AA72" s="37"/>
    </row>
    <row r="73" spans="1:27" s="50" customFormat="1" ht="12.75">
      <c r="A73" s="36" t="s">
        <v>272</v>
      </c>
      <c r="B73" s="12">
        <v>1</v>
      </c>
      <c r="C73" s="12">
        <v>1</v>
      </c>
      <c r="D73" s="12">
        <v>2</v>
      </c>
      <c r="E73" s="12">
        <v>0</v>
      </c>
      <c r="F73" s="12">
        <v>2</v>
      </c>
      <c r="G73" s="12">
        <v>3</v>
      </c>
      <c r="H73" s="42" t="s">
        <v>274</v>
      </c>
      <c r="I73" s="3" t="s">
        <v>273</v>
      </c>
      <c r="J73" s="19">
        <f>288484.2-5223.9</f>
        <v>283260.3</v>
      </c>
      <c r="K73" s="19">
        <f>271560.6-0.06</f>
        <v>271560.5</v>
      </c>
      <c r="L73" s="19">
        <v>300108.5</v>
      </c>
      <c r="M73" s="158">
        <v>365667.1</v>
      </c>
      <c r="N73" s="214">
        <f>361378.4-75.1</f>
        <v>361303.3</v>
      </c>
      <c r="O73" s="214">
        <f>361378.4-75.1</f>
        <v>361303.3</v>
      </c>
      <c r="P73" s="214">
        <f>360824.7-76</f>
        <v>360748.7</v>
      </c>
      <c r="Q73" s="214">
        <f>360824.7-76</f>
        <v>360748.7</v>
      </c>
      <c r="R73" s="209">
        <f>367905.4-77.7+0.1</f>
        <v>367827.8</v>
      </c>
      <c r="S73" s="209">
        <f>367905.4-77.7+0.1</f>
        <v>367827.8</v>
      </c>
      <c r="T73" s="209">
        <v>367905.4</v>
      </c>
      <c r="U73" s="209">
        <v>367905.4</v>
      </c>
      <c r="V73" s="259">
        <f>J73+K73+L73+M73+O73+Q73+S73+T73+U73</f>
        <v>3046287</v>
      </c>
      <c r="W73" s="303">
        <v>2024</v>
      </c>
      <c r="X73" s="40">
        <f aca="true" t="shared" si="26" ref="X73:X136">O73-N73</f>
        <v>0</v>
      </c>
      <c r="Y73" s="40">
        <f aca="true" t="shared" si="27" ref="Y73:Y136">Q73-P73</f>
        <v>0</v>
      </c>
      <c r="Z73" s="40">
        <f aca="true" t="shared" si="28" ref="Z73:Z136">S73-R73</f>
        <v>0</v>
      </c>
      <c r="AA73" s="37"/>
    </row>
    <row r="74" spans="1:27" s="50" customFormat="1" ht="12.75">
      <c r="A74" s="36" t="s">
        <v>272</v>
      </c>
      <c r="B74" s="12">
        <v>1</v>
      </c>
      <c r="C74" s="12">
        <v>1</v>
      </c>
      <c r="D74" s="12">
        <v>2</v>
      </c>
      <c r="E74" s="12">
        <v>0</v>
      </c>
      <c r="F74" s="12">
        <v>2</v>
      </c>
      <c r="G74" s="12">
        <v>2</v>
      </c>
      <c r="H74" s="42" t="s">
        <v>275</v>
      </c>
      <c r="I74" s="3" t="s">
        <v>273</v>
      </c>
      <c r="J74" s="19">
        <v>968689.3</v>
      </c>
      <c r="K74" s="19">
        <v>977853.5</v>
      </c>
      <c r="L74" s="19">
        <v>1105757</v>
      </c>
      <c r="M74" s="158">
        <v>1181324.7</v>
      </c>
      <c r="N74" s="214">
        <v>1240502.3</v>
      </c>
      <c r="O74" s="214">
        <f>1240502.3+47010.2</f>
        <v>1287512.5</v>
      </c>
      <c r="P74" s="214">
        <v>1343509.8</v>
      </c>
      <c r="Q74" s="214">
        <v>1417446.1</v>
      </c>
      <c r="R74" s="209">
        <v>1343509.8</v>
      </c>
      <c r="S74" s="209">
        <v>1534229.9</v>
      </c>
      <c r="T74" s="209">
        <v>1343509.8</v>
      </c>
      <c r="U74" s="209">
        <v>1343509.8</v>
      </c>
      <c r="V74" s="259">
        <f>J74+K74+L74+M74+O74+Q74+S74+T74+U74</f>
        <v>11159832.6</v>
      </c>
      <c r="W74" s="303">
        <v>2024</v>
      </c>
      <c r="X74" s="40">
        <f t="shared" si="26"/>
        <v>47010.2</v>
      </c>
      <c r="Y74" s="40">
        <f t="shared" si="27"/>
        <v>73936.3</v>
      </c>
      <c r="Z74" s="40">
        <f t="shared" si="28"/>
        <v>190720.1</v>
      </c>
      <c r="AA74" s="37"/>
    </row>
    <row r="75" spans="1:26" ht="38.25">
      <c r="A75" s="36" t="s">
        <v>272</v>
      </c>
      <c r="B75" s="12">
        <v>1</v>
      </c>
      <c r="C75" s="12">
        <v>1</v>
      </c>
      <c r="D75" s="12">
        <v>2</v>
      </c>
      <c r="E75" s="12">
        <v>0</v>
      </c>
      <c r="F75" s="12">
        <v>2</v>
      </c>
      <c r="G75" s="14"/>
      <c r="H75" s="58" t="s">
        <v>311</v>
      </c>
      <c r="I75" s="21" t="s">
        <v>301</v>
      </c>
      <c r="J75" s="1">
        <v>18792</v>
      </c>
      <c r="K75" s="1">
        <v>19077</v>
      </c>
      <c r="L75" s="1">
        <v>19805</v>
      </c>
      <c r="M75" s="189">
        <v>20363</v>
      </c>
      <c r="N75" s="215">
        <v>20951</v>
      </c>
      <c r="O75" s="215">
        <v>20951</v>
      </c>
      <c r="P75" s="215">
        <v>21576</v>
      </c>
      <c r="Q75" s="215">
        <v>21576</v>
      </c>
      <c r="R75" s="267">
        <v>21940</v>
      </c>
      <c r="S75" s="267">
        <v>21940</v>
      </c>
      <c r="T75" s="267">
        <v>21940</v>
      </c>
      <c r="U75" s="267">
        <v>21940</v>
      </c>
      <c r="V75" s="260">
        <f>(J75+K75+L75+M75+O75+Q75+S75+T75+U75)/9</f>
        <v>20709</v>
      </c>
      <c r="W75" s="305">
        <v>2024</v>
      </c>
      <c r="X75" s="40">
        <f t="shared" si="26"/>
        <v>0</v>
      </c>
      <c r="Y75" s="40">
        <f t="shared" si="27"/>
        <v>0</v>
      </c>
      <c r="Z75" s="40">
        <f t="shared" si="28"/>
        <v>0</v>
      </c>
    </row>
    <row r="76" spans="1:26" ht="51">
      <c r="A76" s="36" t="s">
        <v>272</v>
      </c>
      <c r="B76" s="12">
        <v>1</v>
      </c>
      <c r="C76" s="12">
        <v>1</v>
      </c>
      <c r="D76" s="12">
        <v>2</v>
      </c>
      <c r="E76" s="12">
        <v>0</v>
      </c>
      <c r="F76" s="12">
        <v>2</v>
      </c>
      <c r="G76" s="14"/>
      <c r="H76" s="58" t="s">
        <v>260</v>
      </c>
      <c r="I76" s="21" t="s">
        <v>301</v>
      </c>
      <c r="J76" s="56">
        <v>25</v>
      </c>
      <c r="K76" s="56">
        <v>25</v>
      </c>
      <c r="L76" s="56">
        <v>25</v>
      </c>
      <c r="M76" s="191">
        <v>25</v>
      </c>
      <c r="N76" s="212">
        <v>25</v>
      </c>
      <c r="O76" s="212">
        <v>25</v>
      </c>
      <c r="P76" s="212">
        <v>25</v>
      </c>
      <c r="Q76" s="212">
        <v>25</v>
      </c>
      <c r="R76" s="212">
        <v>25</v>
      </c>
      <c r="S76" s="212">
        <v>25</v>
      </c>
      <c r="T76" s="212">
        <v>25</v>
      </c>
      <c r="U76" s="212">
        <v>25</v>
      </c>
      <c r="V76" s="260">
        <v>25</v>
      </c>
      <c r="W76" s="305">
        <v>2024</v>
      </c>
      <c r="X76" s="40">
        <f t="shared" si="26"/>
        <v>0</v>
      </c>
      <c r="Y76" s="40">
        <f t="shared" si="27"/>
        <v>0</v>
      </c>
      <c r="Z76" s="40">
        <f t="shared" si="28"/>
        <v>0</v>
      </c>
    </row>
    <row r="77" spans="1:26" ht="89.25">
      <c r="A77" s="36" t="s">
        <v>272</v>
      </c>
      <c r="B77" s="12">
        <v>1</v>
      </c>
      <c r="C77" s="12">
        <v>1</v>
      </c>
      <c r="D77" s="12">
        <v>2</v>
      </c>
      <c r="E77" s="12">
        <v>0</v>
      </c>
      <c r="F77" s="12">
        <v>2</v>
      </c>
      <c r="G77" s="14"/>
      <c r="H77" s="58" t="s">
        <v>80</v>
      </c>
      <c r="I77" s="21" t="s">
        <v>278</v>
      </c>
      <c r="J77" s="6">
        <f>J73/J9*100</f>
        <v>25.6</v>
      </c>
      <c r="K77" s="6">
        <f>K73/K10*100</f>
        <v>12.9</v>
      </c>
      <c r="L77" s="6">
        <f>L73/L9*100</f>
        <v>21.6</v>
      </c>
      <c r="M77" s="176">
        <f>M73/M9*100</f>
        <v>21</v>
      </c>
      <c r="N77" s="239">
        <f>N73/N9*100</f>
        <v>22.5</v>
      </c>
      <c r="O77" s="239">
        <f>O73/O9*100</f>
        <v>22.2</v>
      </c>
      <c r="P77" s="239">
        <f aca="true" t="shared" si="29" ref="P77:V77">P73/P9*100</f>
        <v>23.1</v>
      </c>
      <c r="Q77" s="239">
        <f t="shared" si="29"/>
        <v>23.1</v>
      </c>
      <c r="R77" s="239">
        <f>R73/R9*100</f>
        <v>22.6</v>
      </c>
      <c r="S77" s="239">
        <f t="shared" si="29"/>
        <v>22.6</v>
      </c>
      <c r="T77" s="239">
        <f t="shared" si="29"/>
        <v>22.6</v>
      </c>
      <c r="U77" s="239">
        <f t="shared" si="29"/>
        <v>22.6</v>
      </c>
      <c r="V77" s="239">
        <f t="shared" si="29"/>
        <v>22.5</v>
      </c>
      <c r="W77" s="305">
        <v>2024</v>
      </c>
      <c r="X77" s="40">
        <f t="shared" si="26"/>
        <v>-0.3</v>
      </c>
      <c r="Y77" s="40">
        <f t="shared" si="27"/>
        <v>0</v>
      </c>
      <c r="Z77" s="40">
        <f t="shared" si="28"/>
        <v>0</v>
      </c>
    </row>
    <row r="78" spans="1:26" ht="63.75">
      <c r="A78" s="36" t="s">
        <v>272</v>
      </c>
      <c r="B78" s="12">
        <v>1</v>
      </c>
      <c r="C78" s="12">
        <v>1</v>
      </c>
      <c r="D78" s="12">
        <v>2</v>
      </c>
      <c r="E78" s="12">
        <v>0</v>
      </c>
      <c r="F78" s="12">
        <v>2</v>
      </c>
      <c r="G78" s="14"/>
      <c r="H78" s="58" t="s">
        <v>185</v>
      </c>
      <c r="I78" s="21" t="s">
        <v>273</v>
      </c>
      <c r="J78" s="6">
        <f aca="true" t="shared" si="30" ref="J78:P78">J74/J75</f>
        <v>51.5</v>
      </c>
      <c r="K78" s="6">
        <f t="shared" si="30"/>
        <v>51.3</v>
      </c>
      <c r="L78" s="6">
        <f t="shared" si="30"/>
        <v>55.8</v>
      </c>
      <c r="M78" s="176">
        <f t="shared" si="30"/>
        <v>58</v>
      </c>
      <c r="N78" s="239">
        <f t="shared" si="30"/>
        <v>59.2</v>
      </c>
      <c r="O78" s="239">
        <f t="shared" si="30"/>
        <v>61.5</v>
      </c>
      <c r="P78" s="239">
        <f t="shared" si="30"/>
        <v>62.3</v>
      </c>
      <c r="Q78" s="239">
        <f>Q74/Q75</f>
        <v>65.7</v>
      </c>
      <c r="R78" s="239">
        <f>R74/R75</f>
        <v>61.2</v>
      </c>
      <c r="S78" s="239">
        <f>S74/S75</f>
        <v>69.9</v>
      </c>
      <c r="T78" s="239">
        <f>T74/T75</f>
        <v>61.2</v>
      </c>
      <c r="U78" s="239">
        <f>U74/U75</f>
        <v>61.2</v>
      </c>
      <c r="V78" s="222">
        <f>J78+K78+L78+M78+O78+Q78+S78+T78+U78</f>
        <v>536.1</v>
      </c>
      <c r="W78" s="305">
        <v>2024</v>
      </c>
      <c r="X78" s="40">
        <f t="shared" si="26"/>
        <v>2.3</v>
      </c>
      <c r="Y78" s="40">
        <f t="shared" si="27"/>
        <v>3.4</v>
      </c>
      <c r="Z78" s="40">
        <f t="shared" si="28"/>
        <v>8.7</v>
      </c>
    </row>
    <row r="79" spans="1:26" ht="63.75">
      <c r="A79" s="36" t="s">
        <v>272</v>
      </c>
      <c r="B79" s="12">
        <v>1</v>
      </c>
      <c r="C79" s="12">
        <v>1</v>
      </c>
      <c r="D79" s="12">
        <v>2</v>
      </c>
      <c r="E79" s="12">
        <v>0</v>
      </c>
      <c r="F79" s="12">
        <v>2</v>
      </c>
      <c r="G79" s="14"/>
      <c r="H79" s="58" t="s">
        <v>157</v>
      </c>
      <c r="I79" s="21" t="s">
        <v>54</v>
      </c>
      <c r="J79" s="25">
        <v>0</v>
      </c>
      <c r="K79" s="25">
        <f>34903+535.3</f>
        <v>35438.3</v>
      </c>
      <c r="L79" s="25">
        <v>39464.4</v>
      </c>
      <c r="M79" s="156">
        <v>43421.1</v>
      </c>
      <c r="N79" s="210">
        <v>47181.4</v>
      </c>
      <c r="O79" s="210">
        <v>47181.4</v>
      </c>
      <c r="P79" s="210">
        <v>47181.4</v>
      </c>
      <c r="Q79" s="210">
        <v>47181.4</v>
      </c>
      <c r="R79" s="210">
        <v>47181.4</v>
      </c>
      <c r="S79" s="210">
        <v>47181.4</v>
      </c>
      <c r="T79" s="210">
        <v>47181.4</v>
      </c>
      <c r="U79" s="210">
        <v>47181.4</v>
      </c>
      <c r="V79" s="222">
        <v>47181.4</v>
      </c>
      <c r="W79" s="305">
        <v>2024</v>
      </c>
      <c r="X79" s="40">
        <f t="shared" si="26"/>
        <v>0</v>
      </c>
      <c r="Y79" s="40">
        <f t="shared" si="27"/>
        <v>0</v>
      </c>
      <c r="Z79" s="40">
        <f t="shared" si="28"/>
        <v>0</v>
      </c>
    </row>
    <row r="80" spans="1:26" ht="63.75">
      <c r="A80" s="36" t="s">
        <v>272</v>
      </c>
      <c r="B80" s="12">
        <v>1</v>
      </c>
      <c r="C80" s="12">
        <v>1</v>
      </c>
      <c r="D80" s="12">
        <v>2</v>
      </c>
      <c r="E80" s="12">
        <v>0</v>
      </c>
      <c r="F80" s="12">
        <v>2</v>
      </c>
      <c r="G80" s="14"/>
      <c r="H80" s="63" t="s">
        <v>145</v>
      </c>
      <c r="I80" s="21" t="s">
        <v>301</v>
      </c>
      <c r="J80" s="56">
        <v>0</v>
      </c>
      <c r="K80" s="1">
        <v>0</v>
      </c>
      <c r="L80" s="1">
        <v>420</v>
      </c>
      <c r="M80" s="191">
        <v>404</v>
      </c>
      <c r="N80" s="240">
        <v>404</v>
      </c>
      <c r="O80" s="212">
        <v>404</v>
      </c>
      <c r="P80" s="240">
        <v>404</v>
      </c>
      <c r="Q80" s="212">
        <v>404</v>
      </c>
      <c r="R80" s="240">
        <v>404</v>
      </c>
      <c r="S80" s="212">
        <v>404</v>
      </c>
      <c r="T80" s="212">
        <v>404</v>
      </c>
      <c r="U80" s="212">
        <v>404</v>
      </c>
      <c r="V80" s="260">
        <f>J80+K80+L80+M80+O80+Q80+S80+T80+U80</f>
        <v>2844</v>
      </c>
      <c r="W80" s="305">
        <v>2024</v>
      </c>
      <c r="X80" s="40">
        <f t="shared" si="26"/>
        <v>0</v>
      </c>
      <c r="Y80" s="40">
        <f t="shared" si="27"/>
        <v>0</v>
      </c>
      <c r="Z80" s="40">
        <f t="shared" si="28"/>
        <v>0</v>
      </c>
    </row>
    <row r="81" spans="1:27" s="50" customFormat="1" ht="38.25">
      <c r="A81" s="51" t="s">
        <v>272</v>
      </c>
      <c r="B81" s="17">
        <v>1</v>
      </c>
      <c r="C81" s="17">
        <v>1</v>
      </c>
      <c r="D81" s="17">
        <v>2</v>
      </c>
      <c r="E81" s="17">
        <v>0</v>
      </c>
      <c r="F81" s="17">
        <v>3</v>
      </c>
      <c r="G81" s="17">
        <v>3</v>
      </c>
      <c r="H81" s="53" t="s">
        <v>91</v>
      </c>
      <c r="I81" s="17" t="s">
        <v>273</v>
      </c>
      <c r="J81" s="7">
        <f aca="true" t="shared" si="31" ref="J81:U81">J82</f>
        <v>5283.5</v>
      </c>
      <c r="K81" s="7">
        <f t="shared" si="31"/>
        <v>20006.3</v>
      </c>
      <c r="L81" s="7">
        <f t="shared" si="31"/>
        <v>18784.7</v>
      </c>
      <c r="M81" s="148">
        <f t="shared" si="31"/>
        <v>26841.4</v>
      </c>
      <c r="N81" s="213">
        <f t="shared" si="31"/>
        <v>33213.3</v>
      </c>
      <c r="O81" s="213">
        <f t="shared" si="31"/>
        <v>33213.3</v>
      </c>
      <c r="P81" s="213">
        <f t="shared" si="31"/>
        <v>33213.3</v>
      </c>
      <c r="Q81" s="213">
        <f t="shared" si="31"/>
        <v>33213.3</v>
      </c>
      <c r="R81" s="213">
        <f t="shared" si="31"/>
        <v>33213.3</v>
      </c>
      <c r="S81" s="213">
        <f t="shared" si="31"/>
        <v>33213.3</v>
      </c>
      <c r="T81" s="213">
        <f t="shared" si="31"/>
        <v>33213.3</v>
      </c>
      <c r="U81" s="213">
        <f t="shared" si="31"/>
        <v>33213.3</v>
      </c>
      <c r="V81" s="216">
        <f>J81+K81+L81+M81+O81+Q81+S81+T81+U81</f>
        <v>236982.4</v>
      </c>
      <c r="W81" s="308">
        <v>2024</v>
      </c>
      <c r="X81" s="40">
        <f t="shared" si="26"/>
        <v>0</v>
      </c>
      <c r="Y81" s="40">
        <f t="shared" si="27"/>
        <v>0</v>
      </c>
      <c r="Z81" s="40">
        <f t="shared" si="28"/>
        <v>0</v>
      </c>
      <c r="AA81" s="37"/>
    </row>
    <row r="82" spans="1:27" s="50" customFormat="1" ht="12.75">
      <c r="A82" s="36" t="s">
        <v>272</v>
      </c>
      <c r="B82" s="12">
        <v>1</v>
      </c>
      <c r="C82" s="12">
        <v>1</v>
      </c>
      <c r="D82" s="12">
        <v>2</v>
      </c>
      <c r="E82" s="12">
        <v>0</v>
      </c>
      <c r="F82" s="12">
        <v>3</v>
      </c>
      <c r="G82" s="12">
        <v>3</v>
      </c>
      <c r="H82" s="42" t="s">
        <v>274</v>
      </c>
      <c r="I82" s="12" t="s">
        <v>273</v>
      </c>
      <c r="J82" s="19">
        <v>5283.5</v>
      </c>
      <c r="K82" s="19">
        <f>21017.5-1011.2</f>
        <v>20006.3</v>
      </c>
      <c r="L82" s="19">
        <f>23622.4-4839.4+1.7</f>
        <v>18784.7</v>
      </c>
      <c r="M82" s="158">
        <v>26841.4</v>
      </c>
      <c r="N82" s="214">
        <v>33213.3</v>
      </c>
      <c r="O82" s="214">
        <v>33213.3</v>
      </c>
      <c r="P82" s="214">
        <v>33213.3</v>
      </c>
      <c r="Q82" s="214">
        <v>33213.3</v>
      </c>
      <c r="R82" s="209">
        <v>33213.3</v>
      </c>
      <c r="S82" s="209">
        <v>33213.3</v>
      </c>
      <c r="T82" s="209">
        <v>33213.3</v>
      </c>
      <c r="U82" s="209">
        <v>33213.3</v>
      </c>
      <c r="V82" s="259">
        <f>J82+K82+L82+M82+O82+Q82+S82+T82+U82</f>
        <v>236982.4</v>
      </c>
      <c r="W82" s="303">
        <v>2024</v>
      </c>
      <c r="X82" s="40">
        <f t="shared" si="26"/>
        <v>0</v>
      </c>
      <c r="Y82" s="40">
        <f t="shared" si="27"/>
        <v>0</v>
      </c>
      <c r="Z82" s="40">
        <f t="shared" si="28"/>
        <v>0</v>
      </c>
      <c r="AA82" s="37"/>
    </row>
    <row r="83" spans="1:26" ht="51">
      <c r="A83" s="36" t="s">
        <v>272</v>
      </c>
      <c r="B83" s="12">
        <v>1</v>
      </c>
      <c r="C83" s="12">
        <v>1</v>
      </c>
      <c r="D83" s="12">
        <v>2</v>
      </c>
      <c r="E83" s="12">
        <v>0</v>
      </c>
      <c r="F83" s="12">
        <v>3</v>
      </c>
      <c r="G83" s="14"/>
      <c r="H83" s="63" t="s">
        <v>40</v>
      </c>
      <c r="I83" s="14" t="s">
        <v>312</v>
      </c>
      <c r="J83" s="1">
        <v>29</v>
      </c>
      <c r="K83" s="59">
        <v>28</v>
      </c>
      <c r="L83" s="59">
        <v>28</v>
      </c>
      <c r="M83" s="190">
        <v>28</v>
      </c>
      <c r="N83" s="238">
        <v>28</v>
      </c>
      <c r="O83" s="238">
        <v>28</v>
      </c>
      <c r="P83" s="238">
        <v>28</v>
      </c>
      <c r="Q83" s="238">
        <v>28</v>
      </c>
      <c r="R83" s="238">
        <v>28</v>
      </c>
      <c r="S83" s="238">
        <v>28</v>
      </c>
      <c r="T83" s="238">
        <v>28</v>
      </c>
      <c r="U83" s="238">
        <v>28</v>
      </c>
      <c r="V83" s="260">
        <v>28</v>
      </c>
      <c r="W83" s="305">
        <v>2024</v>
      </c>
      <c r="X83" s="40">
        <f t="shared" si="26"/>
        <v>0</v>
      </c>
      <c r="Y83" s="40">
        <f t="shared" si="27"/>
        <v>0</v>
      </c>
      <c r="Z83" s="40">
        <f t="shared" si="28"/>
        <v>0</v>
      </c>
    </row>
    <row r="84" spans="1:26" ht="111" customHeight="1">
      <c r="A84" s="36" t="s">
        <v>272</v>
      </c>
      <c r="B84" s="12">
        <v>1</v>
      </c>
      <c r="C84" s="12">
        <v>1</v>
      </c>
      <c r="D84" s="12">
        <v>2</v>
      </c>
      <c r="E84" s="12">
        <v>0</v>
      </c>
      <c r="F84" s="12">
        <v>3</v>
      </c>
      <c r="G84" s="14"/>
      <c r="H84" s="63" t="s">
        <v>158</v>
      </c>
      <c r="I84" s="14" t="s">
        <v>312</v>
      </c>
      <c r="J84" s="1">
        <v>0</v>
      </c>
      <c r="K84" s="59">
        <v>7</v>
      </c>
      <c r="L84" s="59">
        <v>7</v>
      </c>
      <c r="M84" s="190">
        <v>19</v>
      </c>
      <c r="N84" s="215">
        <v>18</v>
      </c>
      <c r="O84" s="215">
        <v>18</v>
      </c>
      <c r="P84" s="215">
        <v>18</v>
      </c>
      <c r="Q84" s="215">
        <v>18</v>
      </c>
      <c r="R84" s="215">
        <v>18</v>
      </c>
      <c r="S84" s="215">
        <v>18</v>
      </c>
      <c r="T84" s="215">
        <v>18</v>
      </c>
      <c r="U84" s="215">
        <v>18</v>
      </c>
      <c r="V84" s="260">
        <v>18</v>
      </c>
      <c r="W84" s="305">
        <v>2024</v>
      </c>
      <c r="X84" s="40">
        <f t="shared" si="26"/>
        <v>0</v>
      </c>
      <c r="Y84" s="40">
        <f t="shared" si="27"/>
        <v>0</v>
      </c>
      <c r="Z84" s="40">
        <f t="shared" si="28"/>
        <v>0</v>
      </c>
    </row>
    <row r="85" spans="1:26" ht="31.5" customHeight="1">
      <c r="A85" s="36" t="s">
        <v>272</v>
      </c>
      <c r="B85" s="12">
        <v>1</v>
      </c>
      <c r="C85" s="12">
        <v>1</v>
      </c>
      <c r="D85" s="12">
        <v>2</v>
      </c>
      <c r="E85" s="12">
        <v>0</v>
      </c>
      <c r="F85" s="12">
        <v>3</v>
      </c>
      <c r="G85" s="14"/>
      <c r="H85" s="63" t="s">
        <v>159</v>
      </c>
      <c r="I85" s="14" t="s">
        <v>301</v>
      </c>
      <c r="J85" s="1">
        <v>0</v>
      </c>
      <c r="K85" s="1">
        <f>1475-29-224</f>
        <v>1222</v>
      </c>
      <c r="L85" s="1">
        <v>1298</v>
      </c>
      <c r="M85" s="189">
        <v>1361</v>
      </c>
      <c r="N85" s="215">
        <v>1470</v>
      </c>
      <c r="O85" s="215">
        <v>1470</v>
      </c>
      <c r="P85" s="215">
        <v>1470</v>
      </c>
      <c r="Q85" s="215">
        <v>1470</v>
      </c>
      <c r="R85" s="215">
        <v>1470</v>
      </c>
      <c r="S85" s="215">
        <v>1470</v>
      </c>
      <c r="T85" s="215">
        <v>1470</v>
      </c>
      <c r="U85" s="215">
        <v>1470</v>
      </c>
      <c r="V85" s="260">
        <f>J85+K85+L85+M85+O85+Q85+S85+T85+U85</f>
        <v>11231</v>
      </c>
      <c r="W85" s="305">
        <v>2024</v>
      </c>
      <c r="X85" s="40">
        <f t="shared" si="26"/>
        <v>0</v>
      </c>
      <c r="Y85" s="40">
        <f t="shared" si="27"/>
        <v>0</v>
      </c>
      <c r="Z85" s="40">
        <f t="shared" si="28"/>
        <v>0</v>
      </c>
    </row>
    <row r="86" spans="1:27" s="50" customFormat="1" ht="63.75">
      <c r="A86" s="51" t="s">
        <v>272</v>
      </c>
      <c r="B86" s="17">
        <v>1</v>
      </c>
      <c r="C86" s="17">
        <v>1</v>
      </c>
      <c r="D86" s="17">
        <v>2</v>
      </c>
      <c r="E86" s="17">
        <v>0</v>
      </c>
      <c r="F86" s="17">
        <v>4</v>
      </c>
      <c r="G86" s="17"/>
      <c r="H86" s="53" t="s">
        <v>92</v>
      </c>
      <c r="I86" s="17" t="s">
        <v>273</v>
      </c>
      <c r="J86" s="7">
        <f>J87</f>
        <v>9796.1</v>
      </c>
      <c r="K86" s="7">
        <f>K87</f>
        <v>8719.3</v>
      </c>
      <c r="L86" s="7">
        <f>L87+L88</f>
        <v>12072.3</v>
      </c>
      <c r="M86" s="148">
        <f>M87+M88</f>
        <v>11354.4</v>
      </c>
      <c r="N86" s="213">
        <f>N87</f>
        <v>5122.1</v>
      </c>
      <c r="O86" s="213">
        <f aca="true" t="shared" si="32" ref="O86:U86">O87</f>
        <v>5252.1</v>
      </c>
      <c r="P86" s="213">
        <f t="shared" si="32"/>
        <v>5122.1</v>
      </c>
      <c r="Q86" s="213">
        <f t="shared" si="32"/>
        <v>5122.1</v>
      </c>
      <c r="R86" s="213">
        <f t="shared" si="32"/>
        <v>5122.1</v>
      </c>
      <c r="S86" s="213">
        <f t="shared" si="32"/>
        <v>5122.1</v>
      </c>
      <c r="T86" s="213">
        <f t="shared" si="32"/>
        <v>5122.1</v>
      </c>
      <c r="U86" s="213">
        <f t="shared" si="32"/>
        <v>5122.1</v>
      </c>
      <c r="V86" s="216">
        <f>J86+L86+K86+M86+O86+Q86+S86+T86+U86</f>
        <v>67682.6</v>
      </c>
      <c r="W86" s="308">
        <v>2024</v>
      </c>
      <c r="X86" s="40">
        <f t="shared" si="26"/>
        <v>130</v>
      </c>
      <c r="Y86" s="40">
        <f t="shared" si="27"/>
        <v>0</v>
      </c>
      <c r="Z86" s="40">
        <f t="shared" si="28"/>
        <v>0</v>
      </c>
      <c r="AA86" s="37"/>
    </row>
    <row r="87" spans="1:27" s="50" customFormat="1" ht="12.75">
      <c r="A87" s="36" t="s">
        <v>272</v>
      </c>
      <c r="B87" s="12">
        <v>1</v>
      </c>
      <c r="C87" s="12">
        <v>1</v>
      </c>
      <c r="D87" s="12">
        <v>2</v>
      </c>
      <c r="E87" s="12">
        <v>0</v>
      </c>
      <c r="F87" s="12">
        <v>4</v>
      </c>
      <c r="G87" s="12">
        <v>3</v>
      </c>
      <c r="H87" s="42" t="s">
        <v>274</v>
      </c>
      <c r="I87" s="12" t="s">
        <v>273</v>
      </c>
      <c r="J87" s="19">
        <v>9796.1</v>
      </c>
      <c r="K87" s="19">
        <f>7708.1+1011.2</f>
        <v>8719.3</v>
      </c>
      <c r="L87" s="19">
        <f>6803+4839.4-1.7</f>
        <v>11640.7</v>
      </c>
      <c r="M87" s="158">
        <v>9181.4</v>
      </c>
      <c r="N87" s="214">
        <v>5122.1</v>
      </c>
      <c r="O87" s="214">
        <v>5252.1</v>
      </c>
      <c r="P87" s="214">
        <v>5122.1</v>
      </c>
      <c r="Q87" s="214">
        <v>5122.1</v>
      </c>
      <c r="R87" s="209">
        <v>5122.1</v>
      </c>
      <c r="S87" s="209">
        <v>5122.1</v>
      </c>
      <c r="T87" s="209">
        <v>5122.1</v>
      </c>
      <c r="U87" s="209">
        <v>5122.1</v>
      </c>
      <c r="V87" s="217">
        <f>J87+K87+L87+M87+O87+Q87+S87+T87+U87</f>
        <v>65078</v>
      </c>
      <c r="W87" s="303">
        <v>2024</v>
      </c>
      <c r="X87" s="40">
        <f t="shared" si="26"/>
        <v>130</v>
      </c>
      <c r="Y87" s="40">
        <f t="shared" si="27"/>
        <v>0</v>
      </c>
      <c r="Z87" s="40">
        <f t="shared" si="28"/>
        <v>0</v>
      </c>
      <c r="AA87" s="37"/>
    </row>
    <row r="88" spans="1:27" s="50" customFormat="1" ht="12.75">
      <c r="A88" s="36" t="s">
        <v>272</v>
      </c>
      <c r="B88" s="12">
        <v>1</v>
      </c>
      <c r="C88" s="12">
        <v>1</v>
      </c>
      <c r="D88" s="12">
        <v>2</v>
      </c>
      <c r="E88" s="12">
        <v>0</v>
      </c>
      <c r="F88" s="12">
        <v>4</v>
      </c>
      <c r="G88" s="12">
        <v>2</v>
      </c>
      <c r="H88" s="42" t="s">
        <v>275</v>
      </c>
      <c r="I88" s="12" t="s">
        <v>273</v>
      </c>
      <c r="J88" s="19">
        <v>0</v>
      </c>
      <c r="K88" s="19">
        <v>0</v>
      </c>
      <c r="L88" s="19">
        <v>431.6</v>
      </c>
      <c r="M88" s="158">
        <v>2173</v>
      </c>
      <c r="N88" s="214">
        <v>0</v>
      </c>
      <c r="O88" s="214">
        <v>0</v>
      </c>
      <c r="P88" s="214">
        <v>0</v>
      </c>
      <c r="Q88" s="214">
        <v>0</v>
      </c>
      <c r="R88" s="209">
        <v>0</v>
      </c>
      <c r="S88" s="209">
        <v>0</v>
      </c>
      <c r="T88" s="209">
        <v>0</v>
      </c>
      <c r="U88" s="209">
        <v>0</v>
      </c>
      <c r="V88" s="259">
        <f>J88+K88+L88+M88+O88+Q88+S88+T88+U88</f>
        <v>2604.6</v>
      </c>
      <c r="W88" s="303">
        <v>2019</v>
      </c>
      <c r="X88" s="40">
        <f t="shared" si="26"/>
        <v>0</v>
      </c>
      <c r="Y88" s="40">
        <f t="shared" si="27"/>
        <v>0</v>
      </c>
      <c r="Z88" s="40">
        <f t="shared" si="28"/>
        <v>0</v>
      </c>
      <c r="AA88" s="37"/>
    </row>
    <row r="89" spans="1:26" ht="51">
      <c r="A89" s="36" t="s">
        <v>272</v>
      </c>
      <c r="B89" s="12">
        <v>1</v>
      </c>
      <c r="C89" s="12">
        <v>1</v>
      </c>
      <c r="D89" s="12">
        <v>2</v>
      </c>
      <c r="E89" s="12">
        <v>0</v>
      </c>
      <c r="F89" s="12">
        <v>4</v>
      </c>
      <c r="G89" s="14"/>
      <c r="H89" s="58" t="s">
        <v>313</v>
      </c>
      <c r="I89" s="14" t="s">
        <v>312</v>
      </c>
      <c r="J89" s="1">
        <v>18</v>
      </c>
      <c r="K89" s="1">
        <v>11</v>
      </c>
      <c r="L89" s="1">
        <v>16</v>
      </c>
      <c r="M89" s="189">
        <v>12</v>
      </c>
      <c r="N89" s="237">
        <v>16</v>
      </c>
      <c r="O89" s="215">
        <v>16</v>
      </c>
      <c r="P89" s="215">
        <v>11</v>
      </c>
      <c r="Q89" s="215">
        <v>11</v>
      </c>
      <c r="R89" s="267">
        <v>12</v>
      </c>
      <c r="S89" s="267">
        <v>12</v>
      </c>
      <c r="T89" s="267">
        <v>12</v>
      </c>
      <c r="U89" s="267">
        <v>12</v>
      </c>
      <c r="V89" s="260">
        <v>18</v>
      </c>
      <c r="W89" s="305">
        <v>2024</v>
      </c>
      <c r="X89" s="40">
        <f t="shared" si="26"/>
        <v>0</v>
      </c>
      <c r="Y89" s="40">
        <f t="shared" si="27"/>
        <v>0</v>
      </c>
      <c r="Z89" s="40">
        <f t="shared" si="28"/>
        <v>0</v>
      </c>
    </row>
    <row r="90" spans="1:26" ht="63.75">
      <c r="A90" s="36" t="s">
        <v>272</v>
      </c>
      <c r="B90" s="12">
        <v>1</v>
      </c>
      <c r="C90" s="12">
        <v>1</v>
      </c>
      <c r="D90" s="12">
        <v>2</v>
      </c>
      <c r="E90" s="12">
        <v>0</v>
      </c>
      <c r="F90" s="12">
        <v>4</v>
      </c>
      <c r="G90" s="14"/>
      <c r="H90" s="58" t="s">
        <v>39</v>
      </c>
      <c r="I90" s="14" t="s">
        <v>312</v>
      </c>
      <c r="J90" s="59">
        <v>29</v>
      </c>
      <c r="K90" s="59">
        <v>28</v>
      </c>
      <c r="L90" s="59">
        <f>6+22</f>
        <v>28</v>
      </c>
      <c r="M90" s="190">
        <v>28</v>
      </c>
      <c r="N90" s="238">
        <v>28</v>
      </c>
      <c r="O90" s="238">
        <v>28</v>
      </c>
      <c r="P90" s="238">
        <v>28</v>
      </c>
      <c r="Q90" s="238">
        <v>28</v>
      </c>
      <c r="R90" s="268">
        <v>28</v>
      </c>
      <c r="S90" s="268">
        <v>28</v>
      </c>
      <c r="T90" s="268">
        <v>28</v>
      </c>
      <c r="U90" s="268">
        <v>28</v>
      </c>
      <c r="V90" s="260">
        <v>28</v>
      </c>
      <c r="W90" s="310">
        <v>2024</v>
      </c>
      <c r="X90" s="40">
        <f t="shared" si="26"/>
        <v>0</v>
      </c>
      <c r="Y90" s="40">
        <f t="shared" si="27"/>
        <v>0</v>
      </c>
      <c r="Z90" s="40">
        <f t="shared" si="28"/>
        <v>0</v>
      </c>
    </row>
    <row r="91" spans="1:26" ht="51">
      <c r="A91" s="36" t="s">
        <v>272</v>
      </c>
      <c r="B91" s="12">
        <v>1</v>
      </c>
      <c r="C91" s="12">
        <v>1</v>
      </c>
      <c r="D91" s="12">
        <v>2</v>
      </c>
      <c r="E91" s="12">
        <v>0</v>
      </c>
      <c r="F91" s="12">
        <v>4</v>
      </c>
      <c r="G91" s="14"/>
      <c r="H91" s="58" t="s">
        <v>160</v>
      </c>
      <c r="I91" s="14" t="s">
        <v>312</v>
      </c>
      <c r="J91" s="59">
        <v>0</v>
      </c>
      <c r="K91" s="59">
        <f>1+1+2</f>
        <v>4</v>
      </c>
      <c r="L91" s="59">
        <v>28</v>
      </c>
      <c r="M91" s="190">
        <v>0</v>
      </c>
      <c r="N91" s="238">
        <v>0</v>
      </c>
      <c r="O91" s="238">
        <v>0</v>
      </c>
      <c r="P91" s="238">
        <v>0</v>
      </c>
      <c r="Q91" s="238">
        <v>0</v>
      </c>
      <c r="R91" s="268">
        <v>0</v>
      </c>
      <c r="S91" s="268">
        <v>0</v>
      </c>
      <c r="T91" s="268">
        <v>0</v>
      </c>
      <c r="U91" s="268">
        <v>0</v>
      </c>
      <c r="V91" s="260">
        <v>28</v>
      </c>
      <c r="W91" s="310">
        <v>2018</v>
      </c>
      <c r="X91" s="40">
        <f t="shared" si="26"/>
        <v>0</v>
      </c>
      <c r="Y91" s="40">
        <f t="shared" si="27"/>
        <v>0</v>
      </c>
      <c r="Z91" s="40">
        <f t="shared" si="28"/>
        <v>0</v>
      </c>
    </row>
    <row r="92" spans="1:26" ht="38.25">
      <c r="A92" s="36" t="s">
        <v>272</v>
      </c>
      <c r="B92" s="12">
        <v>1</v>
      </c>
      <c r="C92" s="12">
        <v>1</v>
      </c>
      <c r="D92" s="12">
        <v>2</v>
      </c>
      <c r="E92" s="12">
        <v>0</v>
      </c>
      <c r="F92" s="12">
        <v>4</v>
      </c>
      <c r="G92" s="14"/>
      <c r="H92" s="64" t="s">
        <v>243</v>
      </c>
      <c r="I92" s="14" t="s">
        <v>312</v>
      </c>
      <c r="J92" s="59">
        <v>0</v>
      </c>
      <c r="K92" s="59">
        <v>0</v>
      </c>
      <c r="L92" s="59">
        <v>0</v>
      </c>
      <c r="M92" s="190">
        <v>1</v>
      </c>
      <c r="N92" s="238">
        <v>0</v>
      </c>
      <c r="O92" s="238">
        <v>0</v>
      </c>
      <c r="P92" s="238">
        <v>0</v>
      </c>
      <c r="Q92" s="238">
        <v>0</v>
      </c>
      <c r="R92" s="268">
        <v>0</v>
      </c>
      <c r="S92" s="268">
        <v>0</v>
      </c>
      <c r="T92" s="268">
        <v>0</v>
      </c>
      <c r="U92" s="268">
        <v>0</v>
      </c>
      <c r="V92" s="260">
        <f>J92+K92+L92+M92+O92+Q92</f>
        <v>1</v>
      </c>
      <c r="W92" s="310">
        <v>2019</v>
      </c>
      <c r="X92" s="40">
        <f t="shared" si="26"/>
        <v>0</v>
      </c>
      <c r="Y92" s="40">
        <f t="shared" si="27"/>
        <v>0</v>
      </c>
      <c r="Z92" s="40">
        <f t="shared" si="28"/>
        <v>0</v>
      </c>
    </row>
    <row r="93" spans="1:26" ht="25.5">
      <c r="A93" s="65" t="s">
        <v>272</v>
      </c>
      <c r="B93" s="11">
        <v>1</v>
      </c>
      <c r="C93" s="11">
        <v>1</v>
      </c>
      <c r="D93" s="11">
        <v>3</v>
      </c>
      <c r="E93" s="11">
        <v>0</v>
      </c>
      <c r="F93" s="11">
        <v>0</v>
      </c>
      <c r="G93" s="11"/>
      <c r="H93" s="49" t="s">
        <v>314</v>
      </c>
      <c r="I93" s="11" t="s">
        <v>273</v>
      </c>
      <c r="J93" s="10">
        <f aca="true" t="shared" si="33" ref="J93:U93">J94+J95</f>
        <v>178005.5</v>
      </c>
      <c r="K93" s="10">
        <f t="shared" si="33"/>
        <v>195943.3</v>
      </c>
      <c r="L93" s="10">
        <f t="shared" si="33"/>
        <v>238456.7</v>
      </c>
      <c r="M93" s="157">
        <f t="shared" si="33"/>
        <v>340559.8</v>
      </c>
      <c r="N93" s="208">
        <f t="shared" si="33"/>
        <v>281638.8</v>
      </c>
      <c r="O93" s="208">
        <f t="shared" si="33"/>
        <v>283230.8</v>
      </c>
      <c r="P93" s="208">
        <f t="shared" si="33"/>
        <v>280437.3</v>
      </c>
      <c r="Q93" s="208">
        <f t="shared" si="33"/>
        <v>280437.3</v>
      </c>
      <c r="R93" s="208">
        <f t="shared" si="33"/>
        <v>309951.4</v>
      </c>
      <c r="S93" s="208">
        <f t="shared" si="33"/>
        <v>309951.4</v>
      </c>
      <c r="T93" s="208">
        <f t="shared" si="33"/>
        <v>309873.7</v>
      </c>
      <c r="U93" s="208">
        <f t="shared" si="33"/>
        <v>309873.7</v>
      </c>
      <c r="V93" s="218">
        <f>J93+K93+L93+M93+O93+Q93+S93+T93+U93</f>
        <v>2446332.2</v>
      </c>
      <c r="W93" s="306">
        <v>2024</v>
      </c>
      <c r="X93" s="40">
        <f t="shared" si="26"/>
        <v>1592</v>
      </c>
      <c r="Y93" s="40">
        <f t="shared" si="27"/>
        <v>0</v>
      </c>
      <c r="Z93" s="40">
        <f t="shared" si="28"/>
        <v>0</v>
      </c>
    </row>
    <row r="94" spans="1:27" s="50" customFormat="1" ht="12.75">
      <c r="A94" s="36" t="s">
        <v>272</v>
      </c>
      <c r="B94" s="12">
        <v>1</v>
      </c>
      <c r="C94" s="12">
        <v>1</v>
      </c>
      <c r="D94" s="12">
        <v>3</v>
      </c>
      <c r="E94" s="12">
        <v>0</v>
      </c>
      <c r="F94" s="12">
        <v>0</v>
      </c>
      <c r="G94" s="12">
        <v>3</v>
      </c>
      <c r="H94" s="42" t="s">
        <v>274</v>
      </c>
      <c r="I94" s="12" t="s">
        <v>273</v>
      </c>
      <c r="J94" s="19">
        <f>J102+J110</f>
        <v>178005.5</v>
      </c>
      <c r="K94" s="19">
        <f>K102+K110</f>
        <v>189194</v>
      </c>
      <c r="L94" s="19">
        <f aca="true" t="shared" si="34" ref="L94:U94">L102+L110+L114</f>
        <v>209181.3</v>
      </c>
      <c r="M94" s="158">
        <f t="shared" si="34"/>
        <v>264348.2</v>
      </c>
      <c r="N94" s="209">
        <f t="shared" si="34"/>
        <v>281638.8</v>
      </c>
      <c r="O94" s="209">
        <f t="shared" si="34"/>
        <v>283230.8</v>
      </c>
      <c r="P94" s="209">
        <f t="shared" si="34"/>
        <v>280437.3</v>
      </c>
      <c r="Q94" s="209">
        <f t="shared" si="34"/>
        <v>280437.3</v>
      </c>
      <c r="R94" s="209">
        <f t="shared" si="34"/>
        <v>309951.4</v>
      </c>
      <c r="S94" s="209">
        <f t="shared" si="34"/>
        <v>309951.4</v>
      </c>
      <c r="T94" s="209">
        <f t="shared" si="34"/>
        <v>309873.7</v>
      </c>
      <c r="U94" s="209">
        <f t="shared" si="34"/>
        <v>309873.7</v>
      </c>
      <c r="V94" s="259">
        <f>J94+K94+L94+M94+O94+Q94+S94+T94+U94</f>
        <v>2334095.9</v>
      </c>
      <c r="W94" s="303">
        <v>2024</v>
      </c>
      <c r="X94" s="40">
        <f t="shared" si="26"/>
        <v>1592</v>
      </c>
      <c r="Y94" s="40">
        <f t="shared" si="27"/>
        <v>0</v>
      </c>
      <c r="Z94" s="40">
        <f t="shared" si="28"/>
        <v>0</v>
      </c>
      <c r="AA94" s="37"/>
    </row>
    <row r="95" spans="1:27" s="50" customFormat="1" ht="12.75">
      <c r="A95" s="36" t="s">
        <v>272</v>
      </c>
      <c r="B95" s="12">
        <v>1</v>
      </c>
      <c r="C95" s="12">
        <v>1</v>
      </c>
      <c r="D95" s="12">
        <v>3</v>
      </c>
      <c r="E95" s="12">
        <v>0</v>
      </c>
      <c r="F95" s="12">
        <v>0</v>
      </c>
      <c r="G95" s="12">
        <v>2</v>
      </c>
      <c r="H95" s="42" t="s">
        <v>275</v>
      </c>
      <c r="I95" s="12" t="s">
        <v>273</v>
      </c>
      <c r="J95" s="19">
        <v>0</v>
      </c>
      <c r="K95" s="19">
        <f>K103</f>
        <v>6749.3</v>
      </c>
      <c r="L95" s="19">
        <f>L103+L111</f>
        <v>29275.4</v>
      </c>
      <c r="M95" s="158">
        <f aca="true" t="shared" si="35" ref="M95:U95">M115</f>
        <v>76211.6</v>
      </c>
      <c r="N95" s="209">
        <f t="shared" si="35"/>
        <v>0</v>
      </c>
      <c r="O95" s="209">
        <f t="shared" si="35"/>
        <v>0</v>
      </c>
      <c r="P95" s="209">
        <f t="shared" si="35"/>
        <v>0</v>
      </c>
      <c r="Q95" s="209">
        <f t="shared" si="35"/>
        <v>0</v>
      </c>
      <c r="R95" s="209">
        <f t="shared" si="35"/>
        <v>0</v>
      </c>
      <c r="S95" s="209">
        <f t="shared" si="35"/>
        <v>0</v>
      </c>
      <c r="T95" s="209">
        <f t="shared" si="35"/>
        <v>0</v>
      </c>
      <c r="U95" s="209">
        <f t="shared" si="35"/>
        <v>0</v>
      </c>
      <c r="V95" s="259">
        <f>J95+K95+L95+M95+O95+Q95+S95+T95+U95</f>
        <v>112236.3</v>
      </c>
      <c r="W95" s="303">
        <v>2019</v>
      </c>
      <c r="X95" s="40">
        <f t="shared" si="26"/>
        <v>0</v>
      </c>
      <c r="Y95" s="40">
        <f t="shared" si="27"/>
        <v>0</v>
      </c>
      <c r="Z95" s="40">
        <f t="shared" si="28"/>
        <v>0</v>
      </c>
      <c r="AA95" s="37"/>
    </row>
    <row r="96" spans="1:26" ht="76.5">
      <c r="A96" s="36" t="s">
        <v>272</v>
      </c>
      <c r="B96" s="12">
        <v>1</v>
      </c>
      <c r="C96" s="12">
        <v>1</v>
      </c>
      <c r="D96" s="12">
        <v>3</v>
      </c>
      <c r="E96" s="12">
        <v>0</v>
      </c>
      <c r="F96" s="12">
        <v>0</v>
      </c>
      <c r="G96" s="14"/>
      <c r="H96" s="63" t="s">
        <v>315</v>
      </c>
      <c r="I96" s="14" t="s">
        <v>278</v>
      </c>
      <c r="J96" s="25">
        <v>88</v>
      </c>
      <c r="K96" s="25">
        <v>88.7</v>
      </c>
      <c r="L96" s="25">
        <v>88.7</v>
      </c>
      <c r="M96" s="156">
        <v>88.7</v>
      </c>
      <c r="N96" s="210">
        <v>88.8</v>
      </c>
      <c r="O96" s="210">
        <v>88.8</v>
      </c>
      <c r="P96" s="210">
        <v>88.9</v>
      </c>
      <c r="Q96" s="210">
        <v>88.9</v>
      </c>
      <c r="R96" s="210">
        <v>88.9</v>
      </c>
      <c r="S96" s="210">
        <v>88.9</v>
      </c>
      <c r="T96" s="210">
        <v>89</v>
      </c>
      <c r="U96" s="210">
        <v>89</v>
      </c>
      <c r="V96" s="222">
        <v>89</v>
      </c>
      <c r="W96" s="305">
        <v>2024</v>
      </c>
      <c r="X96" s="40">
        <f t="shared" si="26"/>
        <v>0</v>
      </c>
      <c r="Y96" s="40">
        <f t="shared" si="27"/>
        <v>0</v>
      </c>
      <c r="Z96" s="40">
        <f t="shared" si="28"/>
        <v>0</v>
      </c>
    </row>
    <row r="97" spans="1:26" ht="63.75">
      <c r="A97" s="36" t="s">
        <v>272</v>
      </c>
      <c r="B97" s="12">
        <v>1</v>
      </c>
      <c r="C97" s="12">
        <v>1</v>
      </c>
      <c r="D97" s="12">
        <v>3</v>
      </c>
      <c r="E97" s="12">
        <v>0</v>
      </c>
      <c r="F97" s="12">
        <v>0</v>
      </c>
      <c r="G97" s="14"/>
      <c r="H97" s="63" t="s">
        <v>316</v>
      </c>
      <c r="I97" s="14" t="s">
        <v>301</v>
      </c>
      <c r="J97" s="59">
        <v>82</v>
      </c>
      <c r="K97" s="59">
        <v>117</v>
      </c>
      <c r="L97" s="59">
        <v>126</v>
      </c>
      <c r="M97" s="190">
        <v>133</v>
      </c>
      <c r="N97" s="241">
        <v>128</v>
      </c>
      <c r="O97" s="294">
        <v>128</v>
      </c>
      <c r="P97" s="241">
        <v>130</v>
      </c>
      <c r="Q97" s="294">
        <v>130</v>
      </c>
      <c r="R97" s="241">
        <v>131</v>
      </c>
      <c r="S97" s="294">
        <v>131</v>
      </c>
      <c r="T97" s="294">
        <v>131</v>
      </c>
      <c r="U97" s="294">
        <v>131</v>
      </c>
      <c r="V97" s="223">
        <v>131</v>
      </c>
      <c r="W97" s="305">
        <v>2024</v>
      </c>
      <c r="X97" s="40">
        <f t="shared" si="26"/>
        <v>0</v>
      </c>
      <c r="Y97" s="40">
        <f t="shared" si="27"/>
        <v>0</v>
      </c>
      <c r="Z97" s="40">
        <f t="shared" si="28"/>
        <v>0</v>
      </c>
    </row>
    <row r="98" spans="1:26" ht="76.5">
      <c r="A98" s="36" t="s">
        <v>272</v>
      </c>
      <c r="B98" s="12">
        <v>1</v>
      </c>
      <c r="C98" s="12">
        <v>1</v>
      </c>
      <c r="D98" s="12">
        <v>3</v>
      </c>
      <c r="E98" s="12">
        <v>0</v>
      </c>
      <c r="F98" s="12">
        <v>0</v>
      </c>
      <c r="G98" s="14"/>
      <c r="H98" s="63" t="s">
        <v>317</v>
      </c>
      <c r="I98" s="14" t="s">
        <v>278</v>
      </c>
      <c r="J98" s="6">
        <v>90</v>
      </c>
      <c r="K98" s="6">
        <v>100</v>
      </c>
      <c r="L98" s="6">
        <v>100</v>
      </c>
      <c r="M98" s="192">
        <v>100</v>
      </c>
      <c r="N98" s="242">
        <v>100</v>
      </c>
      <c r="O98" s="242">
        <v>100</v>
      </c>
      <c r="P98" s="236">
        <v>100</v>
      </c>
      <c r="Q98" s="242">
        <v>100</v>
      </c>
      <c r="R98" s="236">
        <v>100</v>
      </c>
      <c r="S98" s="242">
        <v>100</v>
      </c>
      <c r="T98" s="242">
        <v>100</v>
      </c>
      <c r="U98" s="242">
        <v>100</v>
      </c>
      <c r="V98" s="239">
        <v>100</v>
      </c>
      <c r="W98" s="305">
        <v>2024</v>
      </c>
      <c r="X98" s="40">
        <f t="shared" si="26"/>
        <v>0</v>
      </c>
      <c r="Y98" s="40">
        <f t="shared" si="27"/>
        <v>0</v>
      </c>
      <c r="Z98" s="40">
        <f t="shared" si="28"/>
        <v>0</v>
      </c>
    </row>
    <row r="99" spans="1:26" ht="63.75">
      <c r="A99" s="51" t="s">
        <v>272</v>
      </c>
      <c r="B99" s="17">
        <v>1</v>
      </c>
      <c r="C99" s="17">
        <v>1</v>
      </c>
      <c r="D99" s="17">
        <v>3</v>
      </c>
      <c r="E99" s="17">
        <v>0</v>
      </c>
      <c r="F99" s="17">
        <v>1</v>
      </c>
      <c r="G99" s="20"/>
      <c r="H99" s="52" t="s">
        <v>57</v>
      </c>
      <c r="I99" s="20" t="s">
        <v>297</v>
      </c>
      <c r="J99" s="23" t="s">
        <v>298</v>
      </c>
      <c r="K99" s="23" t="s">
        <v>298</v>
      </c>
      <c r="L99" s="23" t="s">
        <v>298</v>
      </c>
      <c r="M99" s="145" t="s">
        <v>298</v>
      </c>
      <c r="N99" s="219" t="s">
        <v>298</v>
      </c>
      <c r="O99" s="219" t="s">
        <v>298</v>
      </c>
      <c r="P99" s="219" t="s">
        <v>298</v>
      </c>
      <c r="Q99" s="219" t="s">
        <v>298</v>
      </c>
      <c r="R99" s="219" t="s">
        <v>298</v>
      </c>
      <c r="S99" s="219" t="s">
        <v>298</v>
      </c>
      <c r="T99" s="219" t="s">
        <v>298</v>
      </c>
      <c r="U99" s="219" t="s">
        <v>298</v>
      </c>
      <c r="V99" s="219" t="s">
        <v>298</v>
      </c>
      <c r="W99" s="307">
        <v>2024</v>
      </c>
      <c r="X99" s="40"/>
      <c r="Y99" s="40"/>
      <c r="Z99" s="40"/>
    </row>
    <row r="100" spans="1:26" ht="51">
      <c r="A100" s="36" t="s">
        <v>272</v>
      </c>
      <c r="B100" s="12">
        <v>1</v>
      </c>
      <c r="C100" s="12">
        <v>1</v>
      </c>
      <c r="D100" s="12">
        <v>3</v>
      </c>
      <c r="E100" s="12">
        <v>0</v>
      </c>
      <c r="F100" s="12">
        <v>1</v>
      </c>
      <c r="G100" s="14"/>
      <c r="H100" s="63" t="s">
        <v>318</v>
      </c>
      <c r="I100" s="14" t="s">
        <v>278</v>
      </c>
      <c r="J100" s="25">
        <v>100</v>
      </c>
      <c r="K100" s="25">
        <v>100</v>
      </c>
      <c r="L100" s="25">
        <v>100</v>
      </c>
      <c r="M100" s="156">
        <v>100</v>
      </c>
      <c r="N100" s="210">
        <v>100</v>
      </c>
      <c r="O100" s="210">
        <v>100</v>
      </c>
      <c r="P100" s="210">
        <v>100</v>
      </c>
      <c r="Q100" s="210">
        <v>100</v>
      </c>
      <c r="R100" s="210">
        <v>100</v>
      </c>
      <c r="S100" s="210">
        <v>100</v>
      </c>
      <c r="T100" s="210">
        <v>100</v>
      </c>
      <c r="U100" s="210">
        <v>100</v>
      </c>
      <c r="V100" s="222">
        <v>100</v>
      </c>
      <c r="W100" s="305">
        <v>2024</v>
      </c>
      <c r="X100" s="40">
        <f t="shared" si="26"/>
        <v>0</v>
      </c>
      <c r="Y100" s="40">
        <f t="shared" si="27"/>
        <v>0</v>
      </c>
      <c r="Z100" s="40">
        <f t="shared" si="28"/>
        <v>0</v>
      </c>
    </row>
    <row r="101" spans="1:26" ht="35.25" customHeight="1">
      <c r="A101" s="51" t="s">
        <v>272</v>
      </c>
      <c r="B101" s="17">
        <v>1</v>
      </c>
      <c r="C101" s="17">
        <v>1</v>
      </c>
      <c r="D101" s="17">
        <v>3</v>
      </c>
      <c r="E101" s="17">
        <v>0</v>
      </c>
      <c r="F101" s="17">
        <v>2</v>
      </c>
      <c r="G101" s="17"/>
      <c r="H101" s="53" t="s">
        <v>93</v>
      </c>
      <c r="I101" s="20" t="s">
        <v>273</v>
      </c>
      <c r="J101" s="7">
        <f aca="true" t="shared" si="36" ref="J101:U101">J102+J103</f>
        <v>175812.2</v>
      </c>
      <c r="K101" s="7">
        <f t="shared" si="36"/>
        <v>192398.1</v>
      </c>
      <c r="L101" s="7">
        <f t="shared" si="36"/>
        <v>229582.1</v>
      </c>
      <c r="M101" s="148">
        <f t="shared" si="36"/>
        <v>255851.4</v>
      </c>
      <c r="N101" s="213">
        <f t="shared" si="36"/>
        <v>269804.1</v>
      </c>
      <c r="O101" s="213">
        <f t="shared" si="36"/>
        <v>269804.1</v>
      </c>
      <c r="P101" s="213">
        <f t="shared" si="36"/>
        <v>269655.9</v>
      </c>
      <c r="Q101" s="213">
        <f t="shared" si="36"/>
        <v>269655.9</v>
      </c>
      <c r="R101" s="213">
        <f t="shared" si="36"/>
        <v>299170</v>
      </c>
      <c r="S101" s="213">
        <f t="shared" si="36"/>
        <v>299170</v>
      </c>
      <c r="T101" s="213">
        <f t="shared" si="36"/>
        <v>299092.3</v>
      </c>
      <c r="U101" s="213">
        <f t="shared" si="36"/>
        <v>299092.3</v>
      </c>
      <c r="V101" s="216">
        <f>J101+K101+L101+M101+O101+Q101+S101+T101+U101</f>
        <v>2290458.4</v>
      </c>
      <c r="W101" s="308">
        <v>2024</v>
      </c>
      <c r="X101" s="40">
        <f t="shared" si="26"/>
        <v>0</v>
      </c>
      <c r="Y101" s="40">
        <f t="shared" si="27"/>
        <v>0</v>
      </c>
      <c r="Z101" s="40">
        <f t="shared" si="28"/>
        <v>0</v>
      </c>
    </row>
    <row r="102" spans="1:27" s="50" customFormat="1" ht="12.75">
      <c r="A102" s="36" t="s">
        <v>272</v>
      </c>
      <c r="B102" s="12">
        <v>1</v>
      </c>
      <c r="C102" s="12">
        <v>1</v>
      </c>
      <c r="D102" s="12">
        <v>3</v>
      </c>
      <c r="E102" s="12">
        <v>0</v>
      </c>
      <c r="F102" s="12">
        <v>2</v>
      </c>
      <c r="G102" s="12">
        <v>3</v>
      </c>
      <c r="H102" s="42" t="s">
        <v>274</v>
      </c>
      <c r="I102" s="12" t="s">
        <v>273</v>
      </c>
      <c r="J102" s="19">
        <f>189072.3-11566.7+176.3-1869.7</f>
        <v>175812.2</v>
      </c>
      <c r="K102" s="19">
        <f>185648.9-0.06</f>
        <v>185648.8</v>
      </c>
      <c r="L102" s="19">
        <v>202256.7</v>
      </c>
      <c r="M102" s="158">
        <v>255851.4</v>
      </c>
      <c r="N102" s="214">
        <f>269729+75.1</f>
        <v>269804.1</v>
      </c>
      <c r="O102" s="214">
        <f>269729+75.1</f>
        <v>269804.1</v>
      </c>
      <c r="P102" s="214">
        <f>269579.9+76</f>
        <v>269655.9</v>
      </c>
      <c r="Q102" s="214">
        <f>269579.9+76</f>
        <v>269655.9</v>
      </c>
      <c r="R102" s="214">
        <f>299092.3+77.7</f>
        <v>299170</v>
      </c>
      <c r="S102" s="214">
        <f>299092.3+77.7</f>
        <v>299170</v>
      </c>
      <c r="T102" s="214">
        <v>299092.3</v>
      </c>
      <c r="U102" s="214">
        <v>299092.3</v>
      </c>
      <c r="V102" s="259">
        <f>J102+K102+L102+M102+O102+Q102+S102+T102+U102</f>
        <v>2256383.7</v>
      </c>
      <c r="W102" s="303">
        <v>2024</v>
      </c>
      <c r="X102" s="40">
        <f t="shared" si="26"/>
        <v>0</v>
      </c>
      <c r="Y102" s="40">
        <f t="shared" si="27"/>
        <v>0</v>
      </c>
      <c r="Z102" s="40">
        <f t="shared" si="28"/>
        <v>0</v>
      </c>
      <c r="AA102" s="37"/>
    </row>
    <row r="103" spans="1:27" s="50" customFormat="1" ht="12.75">
      <c r="A103" s="36" t="s">
        <v>272</v>
      </c>
      <c r="B103" s="12">
        <v>1</v>
      </c>
      <c r="C103" s="12">
        <v>1</v>
      </c>
      <c r="D103" s="12">
        <v>3</v>
      </c>
      <c r="E103" s="12">
        <v>0</v>
      </c>
      <c r="F103" s="12">
        <v>2</v>
      </c>
      <c r="G103" s="12">
        <v>2</v>
      </c>
      <c r="H103" s="42" t="s">
        <v>275</v>
      </c>
      <c r="I103" s="12" t="s">
        <v>273</v>
      </c>
      <c r="J103" s="19">
        <v>0</v>
      </c>
      <c r="K103" s="19">
        <v>6749.3</v>
      </c>
      <c r="L103" s="19">
        <v>27325.4</v>
      </c>
      <c r="M103" s="158">
        <v>0</v>
      </c>
      <c r="N103" s="214">
        <v>0</v>
      </c>
      <c r="O103" s="214">
        <v>0</v>
      </c>
      <c r="P103" s="214">
        <v>0</v>
      </c>
      <c r="Q103" s="214">
        <v>0</v>
      </c>
      <c r="R103" s="209">
        <v>0</v>
      </c>
      <c r="S103" s="209">
        <v>0</v>
      </c>
      <c r="T103" s="209">
        <v>0</v>
      </c>
      <c r="U103" s="209">
        <v>0</v>
      </c>
      <c r="V103" s="259">
        <f>J103+K103+L103+M103+O103+Q103+S103+T103+U103</f>
        <v>34074.7</v>
      </c>
      <c r="W103" s="303">
        <v>2018</v>
      </c>
      <c r="X103" s="40">
        <f t="shared" si="26"/>
        <v>0</v>
      </c>
      <c r="Y103" s="40">
        <f t="shared" si="27"/>
        <v>0</v>
      </c>
      <c r="Z103" s="40">
        <f t="shared" si="28"/>
        <v>0</v>
      </c>
      <c r="AA103" s="37"/>
    </row>
    <row r="104" spans="1:26" ht="51">
      <c r="A104" s="36" t="s">
        <v>272</v>
      </c>
      <c r="B104" s="12">
        <v>1</v>
      </c>
      <c r="C104" s="12">
        <v>1</v>
      </c>
      <c r="D104" s="12">
        <v>3</v>
      </c>
      <c r="E104" s="12">
        <v>0</v>
      </c>
      <c r="F104" s="12">
        <v>2</v>
      </c>
      <c r="G104" s="14"/>
      <c r="H104" s="63" t="s">
        <v>319</v>
      </c>
      <c r="I104" s="14" t="s">
        <v>226</v>
      </c>
      <c r="J104" s="1">
        <v>1971529</v>
      </c>
      <c r="K104" s="1">
        <f>1971529+228097+14685+6257</f>
        <v>2220568</v>
      </c>
      <c r="L104" s="1">
        <v>2655571</v>
      </c>
      <c r="M104" s="189">
        <v>2264470</v>
      </c>
      <c r="N104" s="224">
        <v>2329796</v>
      </c>
      <c r="O104" s="224">
        <v>2329796</v>
      </c>
      <c r="P104" s="224">
        <v>2329796</v>
      </c>
      <c r="Q104" s="224">
        <v>2329796</v>
      </c>
      <c r="R104" s="224">
        <v>2329796</v>
      </c>
      <c r="S104" s="224">
        <v>2329796</v>
      </c>
      <c r="T104" s="224">
        <v>2329796</v>
      </c>
      <c r="U104" s="224">
        <v>2329796</v>
      </c>
      <c r="V104" s="260">
        <f>(J104+K104+L104+M104+O104+Q104+S104+T104+U104)/9</f>
        <v>2306791</v>
      </c>
      <c r="W104" s="305">
        <v>2024</v>
      </c>
      <c r="X104" s="40">
        <f t="shared" si="26"/>
        <v>0</v>
      </c>
      <c r="Y104" s="40">
        <f t="shared" si="27"/>
        <v>0</v>
      </c>
      <c r="Z104" s="40">
        <f t="shared" si="28"/>
        <v>0</v>
      </c>
    </row>
    <row r="105" spans="1:26" ht="63.75">
      <c r="A105" s="36" t="s">
        <v>272</v>
      </c>
      <c r="B105" s="12">
        <v>1</v>
      </c>
      <c r="C105" s="12">
        <v>1</v>
      </c>
      <c r="D105" s="12">
        <v>3</v>
      </c>
      <c r="E105" s="12">
        <v>0</v>
      </c>
      <c r="F105" s="12">
        <v>2</v>
      </c>
      <c r="G105" s="14"/>
      <c r="H105" s="63" t="s">
        <v>81</v>
      </c>
      <c r="I105" s="14" t="s">
        <v>278</v>
      </c>
      <c r="J105" s="6">
        <f>J102/J9*100</f>
        <v>15.9</v>
      </c>
      <c r="K105" s="6">
        <f>K102/K10*100</f>
        <v>8.8</v>
      </c>
      <c r="L105" s="6">
        <f>L102/L9*100</f>
        <v>14.5</v>
      </c>
      <c r="M105" s="159">
        <v>14.7</v>
      </c>
      <c r="N105" s="243">
        <f>N102/N9*100</f>
        <v>16.8</v>
      </c>
      <c r="O105" s="243">
        <f>O102/O9*100</f>
        <v>16.6</v>
      </c>
      <c r="P105" s="243">
        <f>P102/P9*100</f>
        <v>17.2</v>
      </c>
      <c r="Q105" s="243">
        <f aca="true" t="shared" si="37" ref="Q105:V105">Q102/Q9*100</f>
        <v>17.2</v>
      </c>
      <c r="R105" s="243">
        <f>R102/R9*100</f>
        <v>18.4</v>
      </c>
      <c r="S105" s="243">
        <f t="shared" si="37"/>
        <v>18.4</v>
      </c>
      <c r="T105" s="243">
        <f t="shared" si="37"/>
        <v>18.4</v>
      </c>
      <c r="U105" s="243">
        <f t="shared" si="37"/>
        <v>18.4</v>
      </c>
      <c r="V105" s="239">
        <f t="shared" si="37"/>
        <v>16.7</v>
      </c>
      <c r="W105" s="305">
        <v>2024</v>
      </c>
      <c r="X105" s="40">
        <f t="shared" si="26"/>
        <v>-0.2</v>
      </c>
      <c r="Y105" s="40">
        <f t="shared" si="27"/>
        <v>0</v>
      </c>
      <c r="Z105" s="40">
        <f t="shared" si="28"/>
        <v>0</v>
      </c>
    </row>
    <row r="106" spans="1:26" ht="51">
      <c r="A106" s="12" t="s">
        <v>272</v>
      </c>
      <c r="B106" s="12">
        <v>1</v>
      </c>
      <c r="C106" s="12">
        <v>1</v>
      </c>
      <c r="D106" s="12">
        <v>3</v>
      </c>
      <c r="E106" s="12">
        <v>0</v>
      </c>
      <c r="F106" s="12">
        <v>2</v>
      </c>
      <c r="G106" s="66"/>
      <c r="H106" s="67" t="s">
        <v>223</v>
      </c>
      <c r="I106" s="66" t="s">
        <v>224</v>
      </c>
      <c r="J106" s="25">
        <v>0</v>
      </c>
      <c r="K106" s="25">
        <v>36066</v>
      </c>
      <c r="L106" s="25">
        <v>42098.7</v>
      </c>
      <c r="M106" s="156">
        <v>45742</v>
      </c>
      <c r="N106" s="207">
        <v>45742</v>
      </c>
      <c r="O106" s="207">
        <v>45742</v>
      </c>
      <c r="P106" s="207">
        <v>45742</v>
      </c>
      <c r="Q106" s="207">
        <v>45742</v>
      </c>
      <c r="R106" s="207">
        <v>45742</v>
      </c>
      <c r="S106" s="207">
        <v>45742</v>
      </c>
      <c r="T106" s="207">
        <v>45742</v>
      </c>
      <c r="U106" s="207">
        <v>45742</v>
      </c>
      <c r="V106" s="210">
        <v>42744.7</v>
      </c>
      <c r="W106" s="305">
        <v>2024</v>
      </c>
      <c r="X106" s="40">
        <f t="shared" si="26"/>
        <v>0</v>
      </c>
      <c r="Y106" s="40">
        <f t="shared" si="27"/>
        <v>0</v>
      </c>
      <c r="Z106" s="40">
        <f t="shared" si="28"/>
        <v>0</v>
      </c>
    </row>
    <row r="107" spans="1:26" ht="63.75">
      <c r="A107" s="36" t="s">
        <v>272</v>
      </c>
      <c r="B107" s="12">
        <v>1</v>
      </c>
      <c r="C107" s="12">
        <v>1</v>
      </c>
      <c r="D107" s="12">
        <v>3</v>
      </c>
      <c r="E107" s="12">
        <v>0</v>
      </c>
      <c r="F107" s="12">
        <v>2</v>
      </c>
      <c r="G107" s="14"/>
      <c r="H107" s="63" t="s">
        <v>146</v>
      </c>
      <c r="I107" s="14" t="s">
        <v>301</v>
      </c>
      <c r="J107" s="56">
        <v>0</v>
      </c>
      <c r="K107" s="1">
        <v>0</v>
      </c>
      <c r="L107" s="1">
        <v>115</v>
      </c>
      <c r="M107" s="191">
        <v>111</v>
      </c>
      <c r="N107" s="212">
        <v>111</v>
      </c>
      <c r="O107" s="212">
        <v>111</v>
      </c>
      <c r="P107" s="212">
        <v>111</v>
      </c>
      <c r="Q107" s="212">
        <v>111</v>
      </c>
      <c r="R107" s="212">
        <v>111</v>
      </c>
      <c r="S107" s="212">
        <v>111</v>
      </c>
      <c r="T107" s="212">
        <v>111</v>
      </c>
      <c r="U107" s="212">
        <v>111</v>
      </c>
      <c r="V107" s="260">
        <f>J107+K107+L107+M107+O107+Q107+S107+T107+U107</f>
        <v>781</v>
      </c>
      <c r="W107" s="305">
        <v>2024</v>
      </c>
      <c r="X107" s="40">
        <f t="shared" si="26"/>
        <v>0</v>
      </c>
      <c r="Y107" s="40">
        <f t="shared" si="27"/>
        <v>0</v>
      </c>
      <c r="Z107" s="40">
        <f t="shared" si="28"/>
        <v>0</v>
      </c>
    </row>
    <row r="108" spans="1:27" s="139" customFormat="1" ht="25.5">
      <c r="A108" s="132" t="s">
        <v>272</v>
      </c>
      <c r="B108" s="133">
        <v>1</v>
      </c>
      <c r="C108" s="133">
        <v>1</v>
      </c>
      <c r="D108" s="133">
        <v>3</v>
      </c>
      <c r="E108" s="133">
        <v>0</v>
      </c>
      <c r="F108" s="133">
        <v>2</v>
      </c>
      <c r="G108" s="134"/>
      <c r="H108" s="135" t="s">
        <v>130</v>
      </c>
      <c r="I108" s="134" t="s">
        <v>301</v>
      </c>
      <c r="J108" s="136">
        <v>0</v>
      </c>
      <c r="K108" s="137">
        <v>0</v>
      </c>
      <c r="L108" s="137">
        <v>0</v>
      </c>
      <c r="M108" s="178">
        <v>0</v>
      </c>
      <c r="N108" s="244">
        <v>163</v>
      </c>
      <c r="O108" s="244">
        <v>163</v>
      </c>
      <c r="P108" s="244">
        <v>163</v>
      </c>
      <c r="Q108" s="244">
        <v>163</v>
      </c>
      <c r="R108" s="244">
        <v>163</v>
      </c>
      <c r="S108" s="244">
        <v>163</v>
      </c>
      <c r="T108" s="244">
        <v>163</v>
      </c>
      <c r="U108" s="244">
        <v>163</v>
      </c>
      <c r="V108" s="224">
        <f>J108+K108+L108+M108+O108+Q108+S108+T108+U108</f>
        <v>815</v>
      </c>
      <c r="W108" s="252">
        <v>2024</v>
      </c>
      <c r="X108" s="40">
        <f t="shared" si="26"/>
        <v>0</v>
      </c>
      <c r="Y108" s="40">
        <f t="shared" si="27"/>
        <v>0</v>
      </c>
      <c r="Z108" s="40">
        <f t="shared" si="28"/>
        <v>0</v>
      </c>
      <c r="AA108" s="138"/>
    </row>
    <row r="109" spans="1:27" s="50" customFormat="1" ht="76.5">
      <c r="A109" s="51" t="s">
        <v>272</v>
      </c>
      <c r="B109" s="17">
        <v>1</v>
      </c>
      <c r="C109" s="17">
        <v>1</v>
      </c>
      <c r="D109" s="17">
        <v>3</v>
      </c>
      <c r="E109" s="17">
        <v>0</v>
      </c>
      <c r="F109" s="17">
        <v>3</v>
      </c>
      <c r="G109" s="17">
        <v>3</v>
      </c>
      <c r="H109" s="53" t="s">
        <v>94</v>
      </c>
      <c r="I109" s="17" t="s">
        <v>273</v>
      </c>
      <c r="J109" s="7">
        <f>J110</f>
        <v>2193.3</v>
      </c>
      <c r="K109" s="7">
        <f>K110</f>
        <v>3545.2</v>
      </c>
      <c r="L109" s="7">
        <f aca="true" t="shared" si="38" ref="L109:U109">L110+L111</f>
        <v>4830.9</v>
      </c>
      <c r="M109" s="148">
        <f t="shared" si="38"/>
        <v>6935.8</v>
      </c>
      <c r="N109" s="213">
        <f t="shared" si="38"/>
        <v>7248.3</v>
      </c>
      <c r="O109" s="213">
        <f t="shared" si="38"/>
        <v>8840.3</v>
      </c>
      <c r="P109" s="213">
        <f t="shared" si="38"/>
        <v>7723.9</v>
      </c>
      <c r="Q109" s="213">
        <f t="shared" si="38"/>
        <v>7723.9</v>
      </c>
      <c r="R109" s="213">
        <f t="shared" si="38"/>
        <v>7723.9</v>
      </c>
      <c r="S109" s="213">
        <f t="shared" si="38"/>
        <v>7723.9</v>
      </c>
      <c r="T109" s="213">
        <f t="shared" si="38"/>
        <v>7723.9</v>
      </c>
      <c r="U109" s="213">
        <f t="shared" si="38"/>
        <v>7723.9</v>
      </c>
      <c r="V109" s="216">
        <f>J109+K109+L109+M109+O109+Q109+S109+T109+U109</f>
        <v>57241.1</v>
      </c>
      <c r="W109" s="308">
        <v>2024</v>
      </c>
      <c r="X109" s="40">
        <f t="shared" si="26"/>
        <v>1592</v>
      </c>
      <c r="Y109" s="40">
        <f t="shared" si="27"/>
        <v>0</v>
      </c>
      <c r="Z109" s="40">
        <f t="shared" si="28"/>
        <v>0</v>
      </c>
      <c r="AA109" s="37"/>
    </row>
    <row r="110" spans="1:27" s="50" customFormat="1" ht="12.75">
      <c r="A110" s="36" t="s">
        <v>272</v>
      </c>
      <c r="B110" s="12">
        <v>1</v>
      </c>
      <c r="C110" s="12">
        <v>1</v>
      </c>
      <c r="D110" s="12">
        <v>3</v>
      </c>
      <c r="E110" s="12">
        <v>0</v>
      </c>
      <c r="F110" s="12">
        <v>3</v>
      </c>
      <c r="G110" s="12">
        <v>3</v>
      </c>
      <c r="H110" s="42" t="s">
        <v>274</v>
      </c>
      <c r="I110" s="12" t="s">
        <v>273</v>
      </c>
      <c r="J110" s="19">
        <f>3678.2-1484.9</f>
        <v>2193.3</v>
      </c>
      <c r="K110" s="19">
        <v>3545.2</v>
      </c>
      <c r="L110" s="19">
        <v>2880.9</v>
      </c>
      <c r="M110" s="158">
        <v>6935.8</v>
      </c>
      <c r="N110" s="214">
        <v>7248.3</v>
      </c>
      <c r="O110" s="214">
        <v>8840.3</v>
      </c>
      <c r="P110" s="214">
        <v>7723.9</v>
      </c>
      <c r="Q110" s="214">
        <v>7723.9</v>
      </c>
      <c r="R110" s="209">
        <v>7723.9</v>
      </c>
      <c r="S110" s="209">
        <v>7723.9</v>
      </c>
      <c r="T110" s="209">
        <v>7723.9</v>
      </c>
      <c r="U110" s="209">
        <v>7723.9</v>
      </c>
      <c r="V110" s="259">
        <f>J110+K110+L110+M110+O110+Q110+S110+U110+T110</f>
        <v>55291.1</v>
      </c>
      <c r="W110" s="303">
        <v>2024</v>
      </c>
      <c r="X110" s="40">
        <f t="shared" si="26"/>
        <v>1592</v>
      </c>
      <c r="Y110" s="40">
        <f t="shared" si="27"/>
        <v>0</v>
      </c>
      <c r="Z110" s="40">
        <f t="shared" si="28"/>
        <v>0</v>
      </c>
      <c r="AA110" s="37"/>
    </row>
    <row r="111" spans="1:27" s="50" customFormat="1" ht="12.75">
      <c r="A111" s="36"/>
      <c r="B111" s="12"/>
      <c r="C111" s="12"/>
      <c r="D111" s="12"/>
      <c r="E111" s="12"/>
      <c r="F111" s="12"/>
      <c r="G111" s="12"/>
      <c r="H111" s="42" t="s">
        <v>275</v>
      </c>
      <c r="I111" s="12" t="s">
        <v>273</v>
      </c>
      <c r="J111" s="19">
        <v>0</v>
      </c>
      <c r="K111" s="19">
        <v>0</v>
      </c>
      <c r="L111" s="19">
        <v>1950</v>
      </c>
      <c r="M111" s="158">
        <v>0</v>
      </c>
      <c r="N111" s="214">
        <v>0</v>
      </c>
      <c r="O111" s="214">
        <v>0</v>
      </c>
      <c r="P111" s="214">
        <v>0</v>
      </c>
      <c r="Q111" s="214">
        <v>0</v>
      </c>
      <c r="R111" s="209">
        <v>0</v>
      </c>
      <c r="S111" s="209">
        <v>0</v>
      </c>
      <c r="T111" s="209">
        <v>0</v>
      </c>
      <c r="U111" s="209">
        <v>0</v>
      </c>
      <c r="V111" s="259">
        <f>J111+K111+L111+M111+O111+Q111+S111+T111+U111</f>
        <v>1950</v>
      </c>
      <c r="W111" s="303">
        <v>2018</v>
      </c>
      <c r="X111" s="40">
        <f t="shared" si="26"/>
        <v>0</v>
      </c>
      <c r="Y111" s="40">
        <f t="shared" si="27"/>
        <v>0</v>
      </c>
      <c r="Z111" s="40">
        <f t="shared" si="28"/>
        <v>0</v>
      </c>
      <c r="AA111" s="37"/>
    </row>
    <row r="112" spans="1:26" ht="51">
      <c r="A112" s="36" t="s">
        <v>272</v>
      </c>
      <c r="B112" s="12">
        <v>1</v>
      </c>
      <c r="C112" s="12">
        <v>1</v>
      </c>
      <c r="D112" s="12">
        <v>3</v>
      </c>
      <c r="E112" s="12">
        <v>0</v>
      </c>
      <c r="F112" s="12">
        <v>3</v>
      </c>
      <c r="G112" s="14"/>
      <c r="H112" s="63" t="s">
        <v>320</v>
      </c>
      <c r="I112" s="14" t="s">
        <v>312</v>
      </c>
      <c r="J112" s="1">
        <v>7</v>
      </c>
      <c r="K112" s="1">
        <v>7</v>
      </c>
      <c r="L112" s="1">
        <v>7</v>
      </c>
      <c r="M112" s="189">
        <v>6</v>
      </c>
      <c r="N112" s="224">
        <v>5</v>
      </c>
      <c r="O112" s="224">
        <v>5</v>
      </c>
      <c r="P112" s="215">
        <v>6</v>
      </c>
      <c r="Q112" s="215">
        <v>6</v>
      </c>
      <c r="R112" s="267">
        <v>6</v>
      </c>
      <c r="S112" s="267">
        <v>6</v>
      </c>
      <c r="T112" s="267">
        <v>6</v>
      </c>
      <c r="U112" s="267">
        <v>6</v>
      </c>
      <c r="V112" s="260">
        <v>6</v>
      </c>
      <c r="W112" s="305">
        <v>2024</v>
      </c>
      <c r="X112" s="40">
        <f t="shared" si="26"/>
        <v>0</v>
      </c>
      <c r="Y112" s="40">
        <f t="shared" si="27"/>
        <v>0</v>
      </c>
      <c r="Z112" s="40">
        <f t="shared" si="28"/>
        <v>0</v>
      </c>
    </row>
    <row r="113" spans="1:27" s="50" customFormat="1" ht="51">
      <c r="A113" s="51" t="s">
        <v>272</v>
      </c>
      <c r="B113" s="17">
        <v>1</v>
      </c>
      <c r="C113" s="17">
        <v>1</v>
      </c>
      <c r="D113" s="17">
        <v>3</v>
      </c>
      <c r="E113" s="17">
        <v>0</v>
      </c>
      <c r="F113" s="17">
        <v>4</v>
      </c>
      <c r="G113" s="17">
        <v>3</v>
      </c>
      <c r="H113" s="53" t="s">
        <v>95</v>
      </c>
      <c r="I113" s="17" t="s">
        <v>273</v>
      </c>
      <c r="J113" s="7">
        <f aca="true" t="shared" si="39" ref="J113:U113">J114+J115</f>
        <v>0</v>
      </c>
      <c r="K113" s="7">
        <f t="shared" si="39"/>
        <v>0</v>
      </c>
      <c r="L113" s="7">
        <f t="shared" si="39"/>
        <v>4043.7</v>
      </c>
      <c r="M113" s="144">
        <f t="shared" si="39"/>
        <v>77772.6</v>
      </c>
      <c r="N113" s="216">
        <f t="shared" si="39"/>
        <v>4586.4</v>
      </c>
      <c r="O113" s="216">
        <f t="shared" si="39"/>
        <v>4586.4</v>
      </c>
      <c r="P113" s="216">
        <f t="shared" si="39"/>
        <v>3057.5</v>
      </c>
      <c r="Q113" s="216">
        <f t="shared" si="39"/>
        <v>3057.5</v>
      </c>
      <c r="R113" s="216">
        <f t="shared" si="39"/>
        <v>3057.5</v>
      </c>
      <c r="S113" s="216">
        <f t="shared" si="39"/>
        <v>3057.5</v>
      </c>
      <c r="T113" s="216">
        <f t="shared" si="39"/>
        <v>3057.5</v>
      </c>
      <c r="U113" s="216">
        <f t="shared" si="39"/>
        <v>3057.5</v>
      </c>
      <c r="V113" s="216">
        <f>J113+K113+L113+M113+O113+Q113+S113+T113+U113</f>
        <v>98632.7</v>
      </c>
      <c r="W113" s="308">
        <v>2024</v>
      </c>
      <c r="X113" s="40">
        <f t="shared" si="26"/>
        <v>0</v>
      </c>
      <c r="Y113" s="40">
        <f t="shared" si="27"/>
        <v>0</v>
      </c>
      <c r="Z113" s="40">
        <f t="shared" si="28"/>
        <v>0</v>
      </c>
      <c r="AA113" s="37"/>
    </row>
    <row r="114" spans="1:27" s="50" customFormat="1" ht="12.75">
      <c r="A114" s="36" t="s">
        <v>272</v>
      </c>
      <c r="B114" s="12">
        <v>1</v>
      </c>
      <c r="C114" s="12">
        <v>1</v>
      </c>
      <c r="D114" s="12">
        <v>3</v>
      </c>
      <c r="E114" s="12">
        <v>0</v>
      </c>
      <c r="F114" s="12">
        <v>4</v>
      </c>
      <c r="G114" s="12">
        <v>3</v>
      </c>
      <c r="H114" s="42" t="s">
        <v>274</v>
      </c>
      <c r="I114" s="12" t="s">
        <v>273</v>
      </c>
      <c r="J114" s="19">
        <v>0</v>
      </c>
      <c r="K114" s="19">
        <v>0</v>
      </c>
      <c r="L114" s="19">
        <v>4043.7</v>
      </c>
      <c r="M114" s="158">
        <v>1561</v>
      </c>
      <c r="N114" s="214">
        <f>3057.5+1528.9</f>
        <v>4586.4</v>
      </c>
      <c r="O114" s="214">
        <f>3057.5+1528.9</f>
        <v>4586.4</v>
      </c>
      <c r="P114" s="214">
        <v>3057.5</v>
      </c>
      <c r="Q114" s="214">
        <v>3057.5</v>
      </c>
      <c r="R114" s="209">
        <v>3057.5</v>
      </c>
      <c r="S114" s="209">
        <v>3057.5</v>
      </c>
      <c r="T114" s="209">
        <v>3057.5</v>
      </c>
      <c r="U114" s="209">
        <v>3057.5</v>
      </c>
      <c r="V114" s="217">
        <f>J114+K114+L114+M114+O114+Q114+S114+T114+U114</f>
        <v>22421.1</v>
      </c>
      <c r="W114" s="303">
        <v>2024</v>
      </c>
      <c r="X114" s="40">
        <f t="shared" si="26"/>
        <v>0</v>
      </c>
      <c r="Y114" s="40">
        <f t="shared" si="27"/>
        <v>0</v>
      </c>
      <c r="Z114" s="40">
        <f t="shared" si="28"/>
        <v>0</v>
      </c>
      <c r="AA114" s="37"/>
    </row>
    <row r="115" spans="1:27" s="50" customFormat="1" ht="12.75">
      <c r="A115" s="36"/>
      <c r="B115" s="12"/>
      <c r="C115" s="12"/>
      <c r="D115" s="12"/>
      <c r="E115" s="12"/>
      <c r="F115" s="12"/>
      <c r="G115" s="12"/>
      <c r="H115" s="42" t="s">
        <v>275</v>
      </c>
      <c r="I115" s="12" t="s">
        <v>273</v>
      </c>
      <c r="J115" s="19">
        <v>0</v>
      </c>
      <c r="K115" s="19">
        <v>0</v>
      </c>
      <c r="L115" s="19">
        <v>0</v>
      </c>
      <c r="M115" s="158">
        <v>76211.6</v>
      </c>
      <c r="N115" s="214">
        <v>0</v>
      </c>
      <c r="O115" s="214">
        <v>0</v>
      </c>
      <c r="P115" s="214">
        <v>0</v>
      </c>
      <c r="Q115" s="214">
        <v>0</v>
      </c>
      <c r="R115" s="209">
        <v>0</v>
      </c>
      <c r="S115" s="209">
        <v>0</v>
      </c>
      <c r="T115" s="209">
        <v>0</v>
      </c>
      <c r="U115" s="209">
        <v>0</v>
      </c>
      <c r="V115" s="217">
        <f>J115+K115+L115+M115+O115+Q115+S115+T115+U115</f>
        <v>76211.6</v>
      </c>
      <c r="W115" s="311">
        <v>2019</v>
      </c>
      <c r="X115" s="40">
        <f t="shared" si="26"/>
        <v>0</v>
      </c>
      <c r="Y115" s="40">
        <f t="shared" si="27"/>
        <v>0</v>
      </c>
      <c r="Z115" s="40">
        <f t="shared" si="28"/>
        <v>0</v>
      </c>
      <c r="AA115" s="37"/>
    </row>
    <row r="116" spans="1:26" ht="63.75">
      <c r="A116" s="36" t="s">
        <v>272</v>
      </c>
      <c r="B116" s="12">
        <v>1</v>
      </c>
      <c r="C116" s="12">
        <v>1</v>
      </c>
      <c r="D116" s="12">
        <v>3</v>
      </c>
      <c r="E116" s="12">
        <v>0</v>
      </c>
      <c r="F116" s="12">
        <v>4</v>
      </c>
      <c r="G116" s="12"/>
      <c r="H116" s="63" t="s">
        <v>161</v>
      </c>
      <c r="I116" s="14" t="s">
        <v>278</v>
      </c>
      <c r="J116" s="25">
        <v>0</v>
      </c>
      <c r="K116" s="25">
        <v>0</v>
      </c>
      <c r="L116" s="25">
        <v>10</v>
      </c>
      <c r="M116" s="141">
        <v>14.3</v>
      </c>
      <c r="N116" s="231">
        <v>56.3</v>
      </c>
      <c r="O116" s="231">
        <v>56.3</v>
      </c>
      <c r="P116" s="231">
        <v>62.5</v>
      </c>
      <c r="Q116" s="231">
        <v>62.5</v>
      </c>
      <c r="R116" s="231">
        <v>68.8</v>
      </c>
      <c r="S116" s="231">
        <v>68.8</v>
      </c>
      <c r="T116" s="231">
        <v>81.3</v>
      </c>
      <c r="U116" s="231">
        <v>100</v>
      </c>
      <c r="V116" s="231">
        <v>100</v>
      </c>
      <c r="W116" s="305">
        <v>2024</v>
      </c>
      <c r="X116" s="40">
        <f t="shared" si="26"/>
        <v>0</v>
      </c>
      <c r="Y116" s="40">
        <f t="shared" si="27"/>
        <v>0</v>
      </c>
      <c r="Z116" s="40">
        <f t="shared" si="28"/>
        <v>0</v>
      </c>
    </row>
    <row r="117" spans="1:26" ht="51">
      <c r="A117" s="36" t="s">
        <v>272</v>
      </c>
      <c r="B117" s="12">
        <v>1</v>
      </c>
      <c r="C117" s="12">
        <v>1</v>
      </c>
      <c r="D117" s="12">
        <v>3</v>
      </c>
      <c r="E117" s="12">
        <v>0</v>
      </c>
      <c r="F117" s="12">
        <v>4</v>
      </c>
      <c r="G117" s="12"/>
      <c r="H117" s="63" t="s">
        <v>22</v>
      </c>
      <c r="I117" s="14" t="s">
        <v>312</v>
      </c>
      <c r="J117" s="1">
        <v>0</v>
      </c>
      <c r="K117" s="1">
        <v>0</v>
      </c>
      <c r="L117" s="1">
        <v>5</v>
      </c>
      <c r="M117" s="189">
        <v>1</v>
      </c>
      <c r="N117" s="224">
        <v>1</v>
      </c>
      <c r="O117" s="224">
        <v>1</v>
      </c>
      <c r="P117" s="224">
        <v>1</v>
      </c>
      <c r="Q117" s="224">
        <v>1</v>
      </c>
      <c r="R117" s="224">
        <v>1</v>
      </c>
      <c r="S117" s="224">
        <v>1</v>
      </c>
      <c r="T117" s="224">
        <v>1</v>
      </c>
      <c r="U117" s="224">
        <v>1</v>
      </c>
      <c r="V117" s="224">
        <v>1</v>
      </c>
      <c r="W117" s="305">
        <v>2024</v>
      </c>
      <c r="X117" s="40">
        <f t="shared" si="26"/>
        <v>0</v>
      </c>
      <c r="Y117" s="40">
        <f t="shared" si="27"/>
        <v>0</v>
      </c>
      <c r="Z117" s="40">
        <f t="shared" si="28"/>
        <v>0</v>
      </c>
    </row>
    <row r="118" spans="1:26" ht="102">
      <c r="A118" s="36" t="s">
        <v>272</v>
      </c>
      <c r="B118" s="12">
        <v>1</v>
      </c>
      <c r="C118" s="12">
        <v>1</v>
      </c>
      <c r="D118" s="12">
        <v>3</v>
      </c>
      <c r="E118" s="12">
        <v>0</v>
      </c>
      <c r="F118" s="12">
        <v>4</v>
      </c>
      <c r="G118" s="12"/>
      <c r="H118" s="63" t="s">
        <v>241</v>
      </c>
      <c r="I118" s="14" t="s">
        <v>242</v>
      </c>
      <c r="J118" s="1">
        <v>0</v>
      </c>
      <c r="K118" s="1">
        <v>0</v>
      </c>
      <c r="L118" s="1">
        <v>0</v>
      </c>
      <c r="M118" s="189">
        <v>800</v>
      </c>
      <c r="N118" s="224">
        <v>900</v>
      </c>
      <c r="O118" s="224">
        <v>900</v>
      </c>
      <c r="P118" s="224">
        <v>1000</v>
      </c>
      <c r="Q118" s="224">
        <v>1000</v>
      </c>
      <c r="R118" s="224">
        <v>1100</v>
      </c>
      <c r="S118" s="224">
        <v>1100</v>
      </c>
      <c r="T118" s="224">
        <v>1300</v>
      </c>
      <c r="U118" s="224">
        <v>1600</v>
      </c>
      <c r="V118" s="224">
        <f>J118+K118+L118+M118+O118+Q118+S118+T118+U118</f>
        <v>6700</v>
      </c>
      <c r="W118" s="305">
        <v>2024</v>
      </c>
      <c r="X118" s="40">
        <f t="shared" si="26"/>
        <v>0</v>
      </c>
      <c r="Y118" s="40">
        <f t="shared" si="27"/>
        <v>0</v>
      </c>
      <c r="Z118" s="40">
        <f t="shared" si="28"/>
        <v>0</v>
      </c>
    </row>
    <row r="119" spans="1:27" s="50" customFormat="1" ht="25.5">
      <c r="A119" s="65" t="s">
        <v>272</v>
      </c>
      <c r="B119" s="11">
        <v>1</v>
      </c>
      <c r="C119" s="11">
        <v>1</v>
      </c>
      <c r="D119" s="11">
        <v>4</v>
      </c>
      <c r="E119" s="11">
        <v>0</v>
      </c>
      <c r="F119" s="11">
        <v>0</v>
      </c>
      <c r="G119" s="11"/>
      <c r="H119" s="49" t="s">
        <v>321</v>
      </c>
      <c r="I119" s="11" t="s">
        <v>273</v>
      </c>
      <c r="J119" s="10">
        <f aca="true" t="shared" si="40" ref="J119:U119">J120</f>
        <v>2671</v>
      </c>
      <c r="K119" s="10">
        <f t="shared" si="40"/>
        <v>2745.5</v>
      </c>
      <c r="L119" s="10">
        <f t="shared" si="40"/>
        <v>2449.1</v>
      </c>
      <c r="M119" s="157">
        <f t="shared" si="40"/>
        <v>3503.8</v>
      </c>
      <c r="N119" s="208">
        <f t="shared" si="40"/>
        <v>4756.7</v>
      </c>
      <c r="O119" s="208">
        <f t="shared" si="40"/>
        <v>4756.7</v>
      </c>
      <c r="P119" s="208">
        <f t="shared" si="40"/>
        <v>4756.7</v>
      </c>
      <c r="Q119" s="208">
        <f t="shared" si="40"/>
        <v>4756.7</v>
      </c>
      <c r="R119" s="208">
        <f t="shared" si="40"/>
        <v>4756.7</v>
      </c>
      <c r="S119" s="208">
        <f t="shared" si="40"/>
        <v>4756.7</v>
      </c>
      <c r="T119" s="208">
        <f t="shared" si="40"/>
        <v>4756.7</v>
      </c>
      <c r="U119" s="208">
        <f t="shared" si="40"/>
        <v>4756.7</v>
      </c>
      <c r="V119" s="218">
        <f>J119+K119+L119+M119+O119+Q119+S119+T119+U119</f>
        <v>35152.9</v>
      </c>
      <c r="W119" s="306">
        <v>2024</v>
      </c>
      <c r="X119" s="40">
        <f t="shared" si="26"/>
        <v>0</v>
      </c>
      <c r="Y119" s="40">
        <f t="shared" si="27"/>
        <v>0</v>
      </c>
      <c r="Z119" s="40">
        <f t="shared" si="28"/>
        <v>0</v>
      </c>
      <c r="AA119" s="37"/>
    </row>
    <row r="120" spans="1:27" s="50" customFormat="1" ht="12.75">
      <c r="A120" s="36" t="s">
        <v>272</v>
      </c>
      <c r="B120" s="12">
        <v>1</v>
      </c>
      <c r="C120" s="12">
        <v>1</v>
      </c>
      <c r="D120" s="12">
        <v>4</v>
      </c>
      <c r="E120" s="12">
        <v>0</v>
      </c>
      <c r="F120" s="12">
        <v>0</v>
      </c>
      <c r="G120" s="12">
        <v>3</v>
      </c>
      <c r="H120" s="42" t="s">
        <v>274</v>
      </c>
      <c r="I120" s="12" t="s">
        <v>273</v>
      </c>
      <c r="J120" s="19">
        <f>J128+J135</f>
        <v>2671</v>
      </c>
      <c r="K120" s="19">
        <f>K128+K135</f>
        <v>2745.5</v>
      </c>
      <c r="L120" s="19">
        <f>L128+L135</f>
        <v>2449.1</v>
      </c>
      <c r="M120" s="158">
        <f aca="true" t="shared" si="41" ref="M120:U120">M128+M135+M138</f>
        <v>3503.8</v>
      </c>
      <c r="N120" s="214">
        <f t="shared" si="41"/>
        <v>4756.7</v>
      </c>
      <c r="O120" s="214">
        <f t="shared" si="41"/>
        <v>4756.7</v>
      </c>
      <c r="P120" s="214">
        <f t="shared" si="41"/>
        <v>4756.7</v>
      </c>
      <c r="Q120" s="214">
        <f t="shared" si="41"/>
        <v>4756.7</v>
      </c>
      <c r="R120" s="214">
        <f t="shared" si="41"/>
        <v>4756.7</v>
      </c>
      <c r="S120" s="214">
        <f t="shared" si="41"/>
        <v>4756.7</v>
      </c>
      <c r="T120" s="214">
        <f t="shared" si="41"/>
        <v>4756.7</v>
      </c>
      <c r="U120" s="214">
        <f t="shared" si="41"/>
        <v>4756.7</v>
      </c>
      <c r="V120" s="209">
        <f>J120+K120+L120+M120+O120+Q120+S120+T120+U120</f>
        <v>35152.9</v>
      </c>
      <c r="W120" s="303">
        <v>2024</v>
      </c>
      <c r="X120" s="40">
        <f t="shared" si="26"/>
        <v>0</v>
      </c>
      <c r="Y120" s="40">
        <f t="shared" si="27"/>
        <v>0</v>
      </c>
      <c r="Z120" s="40">
        <f t="shared" si="28"/>
        <v>0</v>
      </c>
      <c r="AA120" s="37"/>
    </row>
    <row r="121" spans="1:26" ht="63.75">
      <c r="A121" s="36" t="s">
        <v>272</v>
      </c>
      <c r="B121" s="12">
        <v>1</v>
      </c>
      <c r="C121" s="12">
        <v>1</v>
      </c>
      <c r="D121" s="12">
        <v>4</v>
      </c>
      <c r="E121" s="12">
        <v>0</v>
      </c>
      <c r="F121" s="12">
        <v>0</v>
      </c>
      <c r="G121" s="14"/>
      <c r="H121" s="63" t="s">
        <v>82</v>
      </c>
      <c r="I121" s="14" t="s">
        <v>278</v>
      </c>
      <c r="J121" s="6">
        <f>J120/J9*100</f>
        <v>0.2</v>
      </c>
      <c r="K121" s="6">
        <f>K120/K9*100</f>
        <v>0.2</v>
      </c>
      <c r="L121" s="6">
        <f>L120/L9*100</f>
        <v>0.2</v>
      </c>
      <c r="M121" s="177">
        <f>M120/M9*100</f>
        <v>0.2</v>
      </c>
      <c r="N121" s="243">
        <v>0.3</v>
      </c>
      <c r="O121" s="243">
        <v>0.3</v>
      </c>
      <c r="P121" s="243">
        <v>0.3</v>
      </c>
      <c r="Q121" s="243">
        <v>0.3</v>
      </c>
      <c r="R121" s="243">
        <v>0.3</v>
      </c>
      <c r="S121" s="243">
        <v>0.3</v>
      </c>
      <c r="T121" s="243">
        <v>0.3</v>
      </c>
      <c r="U121" s="243">
        <v>0.3</v>
      </c>
      <c r="V121" s="243">
        <v>0.3</v>
      </c>
      <c r="W121" s="305">
        <v>2024</v>
      </c>
      <c r="X121" s="40">
        <f t="shared" si="26"/>
        <v>0</v>
      </c>
      <c r="Y121" s="40">
        <f t="shared" si="27"/>
        <v>0</v>
      </c>
      <c r="Z121" s="40">
        <f t="shared" si="28"/>
        <v>0</v>
      </c>
    </row>
    <row r="122" spans="1:26" ht="51">
      <c r="A122" s="36" t="s">
        <v>272</v>
      </c>
      <c r="B122" s="12">
        <v>1</v>
      </c>
      <c r="C122" s="12">
        <v>1</v>
      </c>
      <c r="D122" s="12">
        <v>4</v>
      </c>
      <c r="E122" s="12">
        <v>0</v>
      </c>
      <c r="F122" s="12">
        <v>0</v>
      </c>
      <c r="G122" s="14"/>
      <c r="H122" s="63" t="s">
        <v>38</v>
      </c>
      <c r="I122" s="14" t="s">
        <v>312</v>
      </c>
      <c r="J122" s="1">
        <v>98</v>
      </c>
      <c r="K122" s="1">
        <v>105</v>
      </c>
      <c r="L122" s="1">
        <v>106</v>
      </c>
      <c r="M122" s="152">
        <v>98</v>
      </c>
      <c r="N122" s="224">
        <v>111</v>
      </c>
      <c r="O122" s="224">
        <v>111</v>
      </c>
      <c r="P122" s="224">
        <v>111</v>
      </c>
      <c r="Q122" s="224">
        <v>111</v>
      </c>
      <c r="R122" s="224">
        <v>111</v>
      </c>
      <c r="S122" s="224">
        <v>111</v>
      </c>
      <c r="T122" s="224">
        <v>111</v>
      </c>
      <c r="U122" s="224">
        <v>111</v>
      </c>
      <c r="V122" s="224">
        <v>111</v>
      </c>
      <c r="W122" s="305">
        <v>2024</v>
      </c>
      <c r="X122" s="40">
        <f t="shared" si="26"/>
        <v>0</v>
      </c>
      <c r="Y122" s="40">
        <f t="shared" si="27"/>
        <v>0</v>
      </c>
      <c r="Z122" s="40">
        <f t="shared" si="28"/>
        <v>0</v>
      </c>
    </row>
    <row r="123" spans="1:26" ht="51">
      <c r="A123" s="36" t="s">
        <v>272</v>
      </c>
      <c r="B123" s="12">
        <v>1</v>
      </c>
      <c r="C123" s="12">
        <v>1</v>
      </c>
      <c r="D123" s="12">
        <v>4</v>
      </c>
      <c r="E123" s="12">
        <v>0</v>
      </c>
      <c r="F123" s="12">
        <v>0</v>
      </c>
      <c r="G123" s="14"/>
      <c r="H123" s="63" t="s">
        <v>283</v>
      </c>
      <c r="I123" s="14" t="s">
        <v>278</v>
      </c>
      <c r="J123" s="8">
        <v>0</v>
      </c>
      <c r="K123" s="8">
        <v>0</v>
      </c>
      <c r="L123" s="8">
        <v>0</v>
      </c>
      <c r="M123" s="151">
        <v>1.5</v>
      </c>
      <c r="N123" s="231">
        <v>1.5</v>
      </c>
      <c r="O123" s="231">
        <v>1.5</v>
      </c>
      <c r="P123" s="231">
        <v>1.6</v>
      </c>
      <c r="Q123" s="231">
        <v>1.6</v>
      </c>
      <c r="R123" s="231">
        <v>1.6</v>
      </c>
      <c r="S123" s="231">
        <v>1.6</v>
      </c>
      <c r="T123" s="231">
        <v>1.6</v>
      </c>
      <c r="U123" s="231">
        <v>1.7</v>
      </c>
      <c r="V123" s="231">
        <v>1.7</v>
      </c>
      <c r="W123" s="305">
        <v>2024</v>
      </c>
      <c r="X123" s="40">
        <f t="shared" si="26"/>
        <v>0</v>
      </c>
      <c r="Y123" s="40">
        <f t="shared" si="27"/>
        <v>0</v>
      </c>
      <c r="Z123" s="40">
        <f t="shared" si="28"/>
        <v>0</v>
      </c>
    </row>
    <row r="124" spans="1:26" ht="76.5">
      <c r="A124" s="36" t="s">
        <v>272</v>
      </c>
      <c r="B124" s="12">
        <v>1</v>
      </c>
      <c r="C124" s="12">
        <v>1</v>
      </c>
      <c r="D124" s="12">
        <v>4</v>
      </c>
      <c r="E124" s="12">
        <v>0</v>
      </c>
      <c r="F124" s="12">
        <v>0</v>
      </c>
      <c r="G124" s="14"/>
      <c r="H124" s="63" t="s">
        <v>250</v>
      </c>
      <c r="I124" s="14" t="s">
        <v>312</v>
      </c>
      <c r="J124" s="8">
        <v>0</v>
      </c>
      <c r="K124" s="8">
        <v>0</v>
      </c>
      <c r="L124" s="8">
        <v>0</v>
      </c>
      <c r="M124" s="152">
        <v>2</v>
      </c>
      <c r="N124" s="224">
        <v>11</v>
      </c>
      <c r="O124" s="224">
        <v>11</v>
      </c>
      <c r="P124" s="224">
        <v>11</v>
      </c>
      <c r="Q124" s="224">
        <v>11</v>
      </c>
      <c r="R124" s="224">
        <v>11</v>
      </c>
      <c r="S124" s="224">
        <v>11</v>
      </c>
      <c r="T124" s="224">
        <v>11</v>
      </c>
      <c r="U124" s="224">
        <v>11</v>
      </c>
      <c r="V124" s="224">
        <v>55</v>
      </c>
      <c r="W124" s="305">
        <v>2024</v>
      </c>
      <c r="X124" s="40">
        <f t="shared" si="26"/>
        <v>0</v>
      </c>
      <c r="Y124" s="40">
        <f t="shared" si="27"/>
        <v>0</v>
      </c>
      <c r="Z124" s="40">
        <f t="shared" si="28"/>
        <v>0</v>
      </c>
    </row>
    <row r="125" spans="1:26" ht="51">
      <c r="A125" s="51" t="s">
        <v>272</v>
      </c>
      <c r="B125" s="17">
        <v>1</v>
      </c>
      <c r="C125" s="17">
        <v>1</v>
      </c>
      <c r="D125" s="17">
        <v>4</v>
      </c>
      <c r="E125" s="17">
        <v>0</v>
      </c>
      <c r="F125" s="17">
        <v>1</v>
      </c>
      <c r="G125" s="20"/>
      <c r="H125" s="52" t="s">
        <v>234</v>
      </c>
      <c r="I125" s="20" t="s">
        <v>297</v>
      </c>
      <c r="J125" s="23" t="s">
        <v>298</v>
      </c>
      <c r="K125" s="23" t="s">
        <v>298</v>
      </c>
      <c r="L125" s="23" t="s">
        <v>298</v>
      </c>
      <c r="M125" s="145" t="s">
        <v>298</v>
      </c>
      <c r="N125" s="219" t="s">
        <v>298</v>
      </c>
      <c r="O125" s="219" t="s">
        <v>298</v>
      </c>
      <c r="P125" s="219" t="s">
        <v>298</v>
      </c>
      <c r="Q125" s="219" t="s">
        <v>298</v>
      </c>
      <c r="R125" s="219" t="s">
        <v>298</v>
      </c>
      <c r="S125" s="219" t="s">
        <v>298</v>
      </c>
      <c r="T125" s="219" t="s">
        <v>298</v>
      </c>
      <c r="U125" s="219" t="s">
        <v>298</v>
      </c>
      <c r="V125" s="219" t="s">
        <v>298</v>
      </c>
      <c r="W125" s="307">
        <v>2024</v>
      </c>
      <c r="X125" s="40"/>
      <c r="Y125" s="40"/>
      <c r="Z125" s="40"/>
    </row>
    <row r="126" spans="1:26" ht="51">
      <c r="A126" s="36" t="s">
        <v>272</v>
      </c>
      <c r="B126" s="12">
        <v>1</v>
      </c>
      <c r="C126" s="12">
        <v>1</v>
      </c>
      <c r="D126" s="12">
        <v>4</v>
      </c>
      <c r="E126" s="12">
        <v>0</v>
      </c>
      <c r="F126" s="12">
        <v>1</v>
      </c>
      <c r="G126" s="14"/>
      <c r="H126" s="63" t="s">
        <v>284</v>
      </c>
      <c r="I126" s="14" t="s">
        <v>278</v>
      </c>
      <c r="J126" s="25">
        <v>100</v>
      </c>
      <c r="K126" s="25">
        <v>100</v>
      </c>
      <c r="L126" s="25">
        <v>100</v>
      </c>
      <c r="M126" s="156">
        <v>100</v>
      </c>
      <c r="N126" s="210">
        <v>100</v>
      </c>
      <c r="O126" s="210">
        <v>100</v>
      </c>
      <c r="P126" s="210">
        <v>100</v>
      </c>
      <c r="Q126" s="210">
        <v>100</v>
      </c>
      <c r="R126" s="207">
        <v>100</v>
      </c>
      <c r="S126" s="207">
        <v>100</v>
      </c>
      <c r="T126" s="207">
        <v>100</v>
      </c>
      <c r="U126" s="207">
        <v>100</v>
      </c>
      <c r="V126" s="222">
        <v>100</v>
      </c>
      <c r="W126" s="305">
        <v>2024</v>
      </c>
      <c r="X126" s="40">
        <f t="shared" si="26"/>
        <v>0</v>
      </c>
      <c r="Y126" s="40">
        <f t="shared" si="27"/>
        <v>0</v>
      </c>
      <c r="Z126" s="40">
        <f t="shared" si="28"/>
        <v>0</v>
      </c>
    </row>
    <row r="127" spans="1:27" s="50" customFormat="1" ht="51">
      <c r="A127" s="51" t="s">
        <v>272</v>
      </c>
      <c r="B127" s="17">
        <v>1</v>
      </c>
      <c r="C127" s="17">
        <v>1</v>
      </c>
      <c r="D127" s="17">
        <v>4</v>
      </c>
      <c r="E127" s="17">
        <v>0</v>
      </c>
      <c r="F127" s="17">
        <v>2</v>
      </c>
      <c r="G127" s="17"/>
      <c r="H127" s="68" t="s">
        <v>96</v>
      </c>
      <c r="I127" s="17" t="s">
        <v>273</v>
      </c>
      <c r="J127" s="7">
        <f aca="true" t="shared" si="42" ref="J127:U127">J128</f>
        <v>2271</v>
      </c>
      <c r="K127" s="7">
        <f t="shared" si="42"/>
        <v>2345.5</v>
      </c>
      <c r="L127" s="7">
        <f t="shared" si="42"/>
        <v>2249.1</v>
      </c>
      <c r="M127" s="148">
        <f t="shared" si="42"/>
        <v>3284.8</v>
      </c>
      <c r="N127" s="213">
        <f t="shared" si="42"/>
        <v>3612.9</v>
      </c>
      <c r="O127" s="213">
        <f t="shared" si="42"/>
        <v>3612.9</v>
      </c>
      <c r="P127" s="213">
        <f t="shared" si="42"/>
        <v>3612.9</v>
      </c>
      <c r="Q127" s="213">
        <f t="shared" si="42"/>
        <v>3612.9</v>
      </c>
      <c r="R127" s="213">
        <f t="shared" si="42"/>
        <v>3612.9</v>
      </c>
      <c r="S127" s="213">
        <f t="shared" si="42"/>
        <v>3612.9</v>
      </c>
      <c r="T127" s="213">
        <f t="shared" si="42"/>
        <v>3612.9</v>
      </c>
      <c r="U127" s="213">
        <f t="shared" si="42"/>
        <v>3612.9</v>
      </c>
      <c r="V127" s="216">
        <f>J127+K127+L127+M127+O127+Q127+S127+T127+U127</f>
        <v>28214.9</v>
      </c>
      <c r="W127" s="308">
        <v>2024</v>
      </c>
      <c r="X127" s="40">
        <f t="shared" si="26"/>
        <v>0</v>
      </c>
      <c r="Y127" s="40">
        <f t="shared" si="27"/>
        <v>0</v>
      </c>
      <c r="Z127" s="40">
        <f t="shared" si="28"/>
        <v>0</v>
      </c>
      <c r="AA127" s="37"/>
    </row>
    <row r="128" spans="1:27" s="50" customFormat="1" ht="12.75">
      <c r="A128" s="36" t="s">
        <v>272</v>
      </c>
      <c r="B128" s="12">
        <v>1</v>
      </c>
      <c r="C128" s="12">
        <v>1</v>
      </c>
      <c r="D128" s="12">
        <v>4</v>
      </c>
      <c r="E128" s="12">
        <v>0</v>
      </c>
      <c r="F128" s="12">
        <v>2</v>
      </c>
      <c r="G128" s="12">
        <v>3</v>
      </c>
      <c r="H128" s="42" t="s">
        <v>274</v>
      </c>
      <c r="I128" s="12" t="s">
        <v>273</v>
      </c>
      <c r="J128" s="19">
        <f>2271</f>
        <v>2271</v>
      </c>
      <c r="K128" s="19">
        <v>2345.5</v>
      </c>
      <c r="L128" s="19">
        <v>2249.1</v>
      </c>
      <c r="M128" s="158">
        <v>3284.8</v>
      </c>
      <c r="N128" s="217">
        <v>3612.9</v>
      </c>
      <c r="O128" s="217">
        <v>3612.9</v>
      </c>
      <c r="P128" s="217">
        <v>3612.9</v>
      </c>
      <c r="Q128" s="217">
        <v>3612.9</v>
      </c>
      <c r="R128" s="217">
        <v>3612.9</v>
      </c>
      <c r="S128" s="217">
        <v>3612.9</v>
      </c>
      <c r="T128" s="217">
        <v>3612.9</v>
      </c>
      <c r="U128" s="217">
        <v>3612.9</v>
      </c>
      <c r="V128" s="259">
        <f>J128+K128+L128+M128+O128+Q128+S128+T128+U128</f>
        <v>28214.9</v>
      </c>
      <c r="W128" s="303">
        <v>2024</v>
      </c>
      <c r="X128" s="40">
        <f t="shared" si="26"/>
        <v>0</v>
      </c>
      <c r="Y128" s="40">
        <f t="shared" si="27"/>
        <v>0</v>
      </c>
      <c r="Z128" s="40">
        <f t="shared" si="28"/>
        <v>0</v>
      </c>
      <c r="AA128" s="37"/>
    </row>
    <row r="129" spans="1:26" ht="38.25">
      <c r="A129" s="36" t="s">
        <v>272</v>
      </c>
      <c r="B129" s="12">
        <v>1</v>
      </c>
      <c r="C129" s="12">
        <v>1</v>
      </c>
      <c r="D129" s="12">
        <v>4</v>
      </c>
      <c r="E129" s="12">
        <v>0</v>
      </c>
      <c r="F129" s="12">
        <v>2</v>
      </c>
      <c r="G129" s="14"/>
      <c r="H129" s="58" t="s">
        <v>322</v>
      </c>
      <c r="I129" s="14" t="s">
        <v>312</v>
      </c>
      <c r="J129" s="1">
        <v>60</v>
      </c>
      <c r="K129" s="1">
        <f>65</f>
        <v>65</v>
      </c>
      <c r="L129" s="1">
        <v>56</v>
      </c>
      <c r="M129" s="152">
        <v>58</v>
      </c>
      <c r="N129" s="224">
        <v>60</v>
      </c>
      <c r="O129" s="224">
        <v>60</v>
      </c>
      <c r="P129" s="224">
        <v>70</v>
      </c>
      <c r="Q129" s="224">
        <v>70</v>
      </c>
      <c r="R129" s="224">
        <v>70</v>
      </c>
      <c r="S129" s="224">
        <v>70</v>
      </c>
      <c r="T129" s="224">
        <v>70</v>
      </c>
      <c r="U129" s="224">
        <v>70</v>
      </c>
      <c r="V129" s="260">
        <f>J129+K129+L129+M129+O129+Q129+S129+T129+U129</f>
        <v>579</v>
      </c>
      <c r="W129" s="305">
        <v>2024</v>
      </c>
      <c r="X129" s="40">
        <f t="shared" si="26"/>
        <v>0</v>
      </c>
      <c r="Y129" s="40">
        <f t="shared" si="27"/>
        <v>0</v>
      </c>
      <c r="Z129" s="40">
        <f t="shared" si="28"/>
        <v>0</v>
      </c>
    </row>
    <row r="130" spans="1:26" ht="51">
      <c r="A130" s="36" t="s">
        <v>272</v>
      </c>
      <c r="B130" s="12">
        <v>1</v>
      </c>
      <c r="C130" s="12">
        <v>1</v>
      </c>
      <c r="D130" s="12">
        <v>4</v>
      </c>
      <c r="E130" s="12">
        <v>0</v>
      </c>
      <c r="F130" s="12">
        <v>2</v>
      </c>
      <c r="G130" s="14"/>
      <c r="H130" s="58" t="s">
        <v>83</v>
      </c>
      <c r="I130" s="14" t="s">
        <v>278</v>
      </c>
      <c r="J130" s="25">
        <v>9</v>
      </c>
      <c r="K130" s="25">
        <f>4/(28+7)*100</f>
        <v>11.4</v>
      </c>
      <c r="L130" s="25">
        <v>9</v>
      </c>
      <c r="M130" s="151">
        <v>8.6</v>
      </c>
      <c r="N130" s="231">
        <v>13</v>
      </c>
      <c r="O130" s="231">
        <v>13</v>
      </c>
      <c r="P130" s="231">
        <v>14</v>
      </c>
      <c r="Q130" s="231">
        <v>14</v>
      </c>
      <c r="R130" s="231">
        <v>14</v>
      </c>
      <c r="S130" s="231">
        <v>14</v>
      </c>
      <c r="T130" s="231">
        <v>14</v>
      </c>
      <c r="U130" s="231">
        <v>14</v>
      </c>
      <c r="V130" s="222">
        <v>14</v>
      </c>
      <c r="W130" s="305">
        <v>2024</v>
      </c>
      <c r="X130" s="40">
        <f t="shared" si="26"/>
        <v>0</v>
      </c>
      <c r="Y130" s="40">
        <f t="shared" si="27"/>
        <v>0</v>
      </c>
      <c r="Z130" s="40">
        <f t="shared" si="28"/>
        <v>0</v>
      </c>
    </row>
    <row r="131" spans="1:26" ht="51">
      <c r="A131" s="36" t="s">
        <v>272</v>
      </c>
      <c r="B131" s="12">
        <v>1</v>
      </c>
      <c r="C131" s="12">
        <v>1</v>
      </c>
      <c r="D131" s="12">
        <v>4</v>
      </c>
      <c r="E131" s="12">
        <v>0</v>
      </c>
      <c r="F131" s="12">
        <v>2</v>
      </c>
      <c r="G131" s="14"/>
      <c r="H131" s="58" t="s">
        <v>170</v>
      </c>
      <c r="I131" s="14" t="s">
        <v>312</v>
      </c>
      <c r="J131" s="1">
        <v>29</v>
      </c>
      <c r="K131" s="1">
        <v>29</v>
      </c>
      <c r="L131" s="1">
        <v>50</v>
      </c>
      <c r="M131" s="152">
        <v>41</v>
      </c>
      <c r="N131" s="224">
        <v>51</v>
      </c>
      <c r="O131" s="224">
        <v>51</v>
      </c>
      <c r="P131" s="224">
        <v>51</v>
      </c>
      <c r="Q131" s="224">
        <v>51</v>
      </c>
      <c r="R131" s="224">
        <v>51</v>
      </c>
      <c r="S131" s="224">
        <v>51</v>
      </c>
      <c r="T131" s="224">
        <v>51</v>
      </c>
      <c r="U131" s="224">
        <v>51</v>
      </c>
      <c r="V131" s="260">
        <f>(J131+K131+L131+M131+O131+Q131+S131+T131+U131)/9</f>
        <v>45</v>
      </c>
      <c r="W131" s="305">
        <v>2024</v>
      </c>
      <c r="X131" s="40">
        <f t="shared" si="26"/>
        <v>0</v>
      </c>
      <c r="Y131" s="40">
        <f t="shared" si="27"/>
        <v>0</v>
      </c>
      <c r="Z131" s="40">
        <f t="shared" si="28"/>
        <v>0</v>
      </c>
    </row>
    <row r="132" spans="1:26" ht="51">
      <c r="A132" s="36" t="s">
        <v>272</v>
      </c>
      <c r="B132" s="12">
        <v>1</v>
      </c>
      <c r="C132" s="12">
        <v>1</v>
      </c>
      <c r="D132" s="12">
        <v>4</v>
      </c>
      <c r="E132" s="12">
        <v>0</v>
      </c>
      <c r="F132" s="12">
        <v>2</v>
      </c>
      <c r="G132" s="14"/>
      <c r="H132" s="58" t="s">
        <v>171</v>
      </c>
      <c r="I132" s="14" t="s">
        <v>312</v>
      </c>
      <c r="J132" s="1">
        <v>11</v>
      </c>
      <c r="K132" s="1">
        <v>11</v>
      </c>
      <c r="L132" s="1">
        <v>12</v>
      </c>
      <c r="M132" s="152">
        <v>12</v>
      </c>
      <c r="N132" s="224">
        <v>12</v>
      </c>
      <c r="O132" s="224">
        <v>12</v>
      </c>
      <c r="P132" s="224">
        <v>12</v>
      </c>
      <c r="Q132" s="224">
        <v>12</v>
      </c>
      <c r="R132" s="224">
        <v>12</v>
      </c>
      <c r="S132" s="224">
        <v>12</v>
      </c>
      <c r="T132" s="224">
        <v>12</v>
      </c>
      <c r="U132" s="224">
        <v>12</v>
      </c>
      <c r="V132" s="260">
        <v>12</v>
      </c>
      <c r="W132" s="305">
        <v>2024</v>
      </c>
      <c r="X132" s="40">
        <f t="shared" si="26"/>
        <v>0</v>
      </c>
      <c r="Y132" s="40">
        <f t="shared" si="27"/>
        <v>0</v>
      </c>
      <c r="Z132" s="40">
        <f t="shared" si="28"/>
        <v>0</v>
      </c>
    </row>
    <row r="133" spans="1:26" ht="38.25">
      <c r="A133" s="36" t="s">
        <v>272</v>
      </c>
      <c r="B133" s="12">
        <v>1</v>
      </c>
      <c r="C133" s="12">
        <v>1</v>
      </c>
      <c r="D133" s="12">
        <v>4</v>
      </c>
      <c r="E133" s="12">
        <v>0</v>
      </c>
      <c r="F133" s="12">
        <v>2</v>
      </c>
      <c r="G133" s="14"/>
      <c r="H133" s="58" t="s">
        <v>75</v>
      </c>
      <c r="I133" s="14" t="s">
        <v>301</v>
      </c>
      <c r="J133" s="1">
        <v>75</v>
      </c>
      <c r="K133" s="1">
        <f>115+29</f>
        <v>144</v>
      </c>
      <c r="L133" s="1">
        <v>184</v>
      </c>
      <c r="M133" s="152">
        <v>309</v>
      </c>
      <c r="N133" s="224">
        <v>310</v>
      </c>
      <c r="O133" s="224">
        <v>310</v>
      </c>
      <c r="P133" s="224">
        <v>330</v>
      </c>
      <c r="Q133" s="224">
        <v>330</v>
      </c>
      <c r="R133" s="224">
        <v>330</v>
      </c>
      <c r="S133" s="224">
        <v>330</v>
      </c>
      <c r="T133" s="224">
        <v>330</v>
      </c>
      <c r="U133" s="224">
        <v>330</v>
      </c>
      <c r="V133" s="260">
        <f aca="true" t="shared" si="43" ref="V133:V142">J133+K133+L133+M133+O133+Q133+S133+T133+U133</f>
        <v>2342</v>
      </c>
      <c r="W133" s="305">
        <v>2024</v>
      </c>
      <c r="X133" s="40">
        <f t="shared" si="26"/>
        <v>0</v>
      </c>
      <c r="Y133" s="40">
        <f t="shared" si="27"/>
        <v>0</v>
      </c>
      <c r="Z133" s="40">
        <f t="shared" si="28"/>
        <v>0</v>
      </c>
    </row>
    <row r="134" spans="1:27" s="50" customFormat="1" ht="51">
      <c r="A134" s="51" t="s">
        <v>272</v>
      </c>
      <c r="B134" s="17">
        <v>1</v>
      </c>
      <c r="C134" s="17">
        <v>1</v>
      </c>
      <c r="D134" s="17">
        <v>4</v>
      </c>
      <c r="E134" s="17">
        <v>0</v>
      </c>
      <c r="F134" s="17">
        <v>3</v>
      </c>
      <c r="G134" s="17"/>
      <c r="H134" s="53" t="s">
        <v>97</v>
      </c>
      <c r="I134" s="17" t="s">
        <v>273</v>
      </c>
      <c r="J134" s="7">
        <f aca="true" t="shared" si="44" ref="J134:O134">J135</f>
        <v>400</v>
      </c>
      <c r="K134" s="7">
        <f t="shared" si="44"/>
        <v>400</v>
      </c>
      <c r="L134" s="7">
        <f t="shared" si="44"/>
        <v>200</v>
      </c>
      <c r="M134" s="148">
        <f t="shared" si="44"/>
        <v>200</v>
      </c>
      <c r="N134" s="213">
        <f t="shared" si="44"/>
        <v>200</v>
      </c>
      <c r="O134" s="213">
        <f t="shared" si="44"/>
        <v>200</v>
      </c>
      <c r="P134" s="213">
        <v>200</v>
      </c>
      <c r="Q134" s="213">
        <v>200</v>
      </c>
      <c r="R134" s="213">
        <f>R135</f>
        <v>200</v>
      </c>
      <c r="S134" s="213">
        <f>S135</f>
        <v>200</v>
      </c>
      <c r="T134" s="213">
        <f>T135</f>
        <v>200</v>
      </c>
      <c r="U134" s="213">
        <f>U135</f>
        <v>200</v>
      </c>
      <c r="V134" s="216">
        <f t="shared" si="43"/>
        <v>2200</v>
      </c>
      <c r="W134" s="308">
        <v>2024</v>
      </c>
      <c r="X134" s="40">
        <f t="shared" si="26"/>
        <v>0</v>
      </c>
      <c r="Y134" s="40">
        <f t="shared" si="27"/>
        <v>0</v>
      </c>
      <c r="Z134" s="40">
        <f t="shared" si="28"/>
        <v>0</v>
      </c>
      <c r="AA134" s="37"/>
    </row>
    <row r="135" spans="1:27" s="50" customFormat="1" ht="12.75">
      <c r="A135" s="36" t="s">
        <v>272</v>
      </c>
      <c r="B135" s="12">
        <v>1</v>
      </c>
      <c r="C135" s="12">
        <v>1</v>
      </c>
      <c r="D135" s="12">
        <v>4</v>
      </c>
      <c r="E135" s="12">
        <v>0</v>
      </c>
      <c r="F135" s="12">
        <v>3</v>
      </c>
      <c r="G135" s="12">
        <v>3</v>
      </c>
      <c r="H135" s="42" t="s">
        <v>274</v>
      </c>
      <c r="I135" s="12" t="s">
        <v>273</v>
      </c>
      <c r="J135" s="19">
        <v>400</v>
      </c>
      <c r="K135" s="19">
        <v>400</v>
      </c>
      <c r="L135" s="19">
        <v>200</v>
      </c>
      <c r="M135" s="158">
        <v>200</v>
      </c>
      <c r="N135" s="214">
        <v>200</v>
      </c>
      <c r="O135" s="214">
        <v>200</v>
      </c>
      <c r="P135" s="214">
        <v>200</v>
      </c>
      <c r="Q135" s="214">
        <v>200</v>
      </c>
      <c r="R135" s="209">
        <v>200</v>
      </c>
      <c r="S135" s="209">
        <v>200</v>
      </c>
      <c r="T135" s="209">
        <v>200</v>
      </c>
      <c r="U135" s="209">
        <v>200</v>
      </c>
      <c r="V135" s="259">
        <f t="shared" si="43"/>
        <v>2200</v>
      </c>
      <c r="W135" s="303">
        <v>2024</v>
      </c>
      <c r="X135" s="40">
        <f t="shared" si="26"/>
        <v>0</v>
      </c>
      <c r="Y135" s="40">
        <f t="shared" si="27"/>
        <v>0</v>
      </c>
      <c r="Z135" s="40">
        <f t="shared" si="28"/>
        <v>0</v>
      </c>
      <c r="AA135" s="37"/>
    </row>
    <row r="136" spans="1:26" ht="51">
      <c r="A136" s="36" t="s">
        <v>272</v>
      </c>
      <c r="B136" s="12">
        <v>1</v>
      </c>
      <c r="C136" s="12">
        <v>1</v>
      </c>
      <c r="D136" s="12">
        <v>4</v>
      </c>
      <c r="E136" s="12">
        <v>0</v>
      </c>
      <c r="F136" s="12">
        <v>3</v>
      </c>
      <c r="G136" s="14"/>
      <c r="H136" s="63" t="s">
        <v>323</v>
      </c>
      <c r="I136" s="14" t="s">
        <v>312</v>
      </c>
      <c r="J136" s="1">
        <v>2</v>
      </c>
      <c r="K136" s="1">
        <v>4</v>
      </c>
      <c r="L136" s="1">
        <v>3</v>
      </c>
      <c r="M136" s="189">
        <v>3</v>
      </c>
      <c r="N136" s="215">
        <v>2</v>
      </c>
      <c r="O136" s="215">
        <v>2</v>
      </c>
      <c r="P136" s="215">
        <v>2</v>
      </c>
      <c r="Q136" s="215">
        <v>2</v>
      </c>
      <c r="R136" s="267">
        <v>2</v>
      </c>
      <c r="S136" s="267">
        <v>2</v>
      </c>
      <c r="T136" s="267">
        <v>2</v>
      </c>
      <c r="U136" s="267">
        <v>2</v>
      </c>
      <c r="V136" s="260">
        <f t="shared" si="43"/>
        <v>22</v>
      </c>
      <c r="W136" s="305">
        <v>2024</v>
      </c>
      <c r="X136" s="40">
        <f t="shared" si="26"/>
        <v>0</v>
      </c>
      <c r="Y136" s="40">
        <f t="shared" si="27"/>
        <v>0</v>
      </c>
      <c r="Z136" s="40">
        <f t="shared" si="28"/>
        <v>0</v>
      </c>
    </row>
    <row r="137" spans="1:27" s="50" customFormat="1" ht="63.75">
      <c r="A137" s="51" t="s">
        <v>272</v>
      </c>
      <c r="B137" s="17">
        <v>1</v>
      </c>
      <c r="C137" s="17">
        <v>1</v>
      </c>
      <c r="D137" s="17">
        <v>4</v>
      </c>
      <c r="E137" s="17">
        <v>0</v>
      </c>
      <c r="F137" s="17">
        <v>4</v>
      </c>
      <c r="G137" s="17"/>
      <c r="H137" s="53" t="s">
        <v>251</v>
      </c>
      <c r="I137" s="17" t="s">
        <v>273</v>
      </c>
      <c r="J137" s="144">
        <f aca="true" t="shared" si="45" ref="J137:U137">J138</f>
        <v>0</v>
      </c>
      <c r="K137" s="144">
        <f t="shared" si="45"/>
        <v>0</v>
      </c>
      <c r="L137" s="144">
        <f t="shared" si="45"/>
        <v>0</v>
      </c>
      <c r="M137" s="144">
        <f t="shared" si="45"/>
        <v>19</v>
      </c>
      <c r="N137" s="216">
        <f>N138</f>
        <v>943.8</v>
      </c>
      <c r="O137" s="216">
        <f>O138</f>
        <v>943.8</v>
      </c>
      <c r="P137" s="216">
        <f>P138</f>
        <v>943.8</v>
      </c>
      <c r="Q137" s="216">
        <f t="shared" si="45"/>
        <v>943.8</v>
      </c>
      <c r="R137" s="216">
        <f t="shared" si="45"/>
        <v>943.8</v>
      </c>
      <c r="S137" s="216">
        <f t="shared" si="45"/>
        <v>943.8</v>
      </c>
      <c r="T137" s="216">
        <f t="shared" si="45"/>
        <v>943.8</v>
      </c>
      <c r="U137" s="216">
        <f t="shared" si="45"/>
        <v>943.8</v>
      </c>
      <c r="V137" s="216">
        <f t="shared" si="43"/>
        <v>4738</v>
      </c>
      <c r="W137" s="308">
        <v>2024</v>
      </c>
      <c r="X137" s="40">
        <f aca="true" t="shared" si="46" ref="X137:X200">O137-N137</f>
        <v>0</v>
      </c>
      <c r="Y137" s="40">
        <f aca="true" t="shared" si="47" ref="Y137:Y200">Q137-P137</f>
        <v>0</v>
      </c>
      <c r="Z137" s="40">
        <f aca="true" t="shared" si="48" ref="Z137:Z200">S137-R137</f>
        <v>0</v>
      </c>
      <c r="AA137" s="37"/>
    </row>
    <row r="138" spans="1:27" s="50" customFormat="1" ht="12.75">
      <c r="A138" s="36" t="s">
        <v>272</v>
      </c>
      <c r="B138" s="12">
        <v>1</v>
      </c>
      <c r="C138" s="12">
        <v>1</v>
      </c>
      <c r="D138" s="12">
        <v>4</v>
      </c>
      <c r="E138" s="12">
        <v>0</v>
      </c>
      <c r="F138" s="12">
        <v>4</v>
      </c>
      <c r="G138" s="12">
        <v>3</v>
      </c>
      <c r="H138" s="42" t="s">
        <v>274</v>
      </c>
      <c r="I138" s="12" t="s">
        <v>273</v>
      </c>
      <c r="J138" s="19">
        <v>0</v>
      </c>
      <c r="K138" s="19">
        <v>0</v>
      </c>
      <c r="L138" s="19">
        <v>0</v>
      </c>
      <c r="M138" s="158">
        <v>19</v>
      </c>
      <c r="N138" s="214">
        <v>943.8</v>
      </c>
      <c r="O138" s="214">
        <v>943.8</v>
      </c>
      <c r="P138" s="214">
        <v>943.8</v>
      </c>
      <c r="Q138" s="214">
        <v>943.8</v>
      </c>
      <c r="R138" s="209">
        <v>943.8</v>
      </c>
      <c r="S138" s="209">
        <v>943.8</v>
      </c>
      <c r="T138" s="209">
        <v>943.8</v>
      </c>
      <c r="U138" s="209">
        <v>943.8</v>
      </c>
      <c r="V138" s="259">
        <f t="shared" si="43"/>
        <v>4738</v>
      </c>
      <c r="W138" s="303">
        <v>2024</v>
      </c>
      <c r="X138" s="40">
        <f t="shared" si="46"/>
        <v>0</v>
      </c>
      <c r="Y138" s="40">
        <f t="shared" si="47"/>
        <v>0</v>
      </c>
      <c r="Z138" s="40">
        <f t="shared" si="48"/>
        <v>0</v>
      </c>
      <c r="AA138" s="37"/>
    </row>
    <row r="139" spans="1:26" ht="76.5">
      <c r="A139" s="36" t="s">
        <v>272</v>
      </c>
      <c r="B139" s="12">
        <v>1</v>
      </c>
      <c r="C139" s="12">
        <v>1</v>
      </c>
      <c r="D139" s="12">
        <v>4</v>
      </c>
      <c r="E139" s="12">
        <v>0</v>
      </c>
      <c r="F139" s="12">
        <v>4</v>
      </c>
      <c r="G139" s="14"/>
      <c r="H139" s="63" t="s">
        <v>252</v>
      </c>
      <c r="I139" s="14" t="s">
        <v>301</v>
      </c>
      <c r="J139" s="1">
        <v>0</v>
      </c>
      <c r="K139" s="1">
        <v>0</v>
      </c>
      <c r="L139" s="1">
        <v>0</v>
      </c>
      <c r="M139" s="189">
        <v>188</v>
      </c>
      <c r="N139" s="215">
        <v>310</v>
      </c>
      <c r="O139" s="215">
        <v>310</v>
      </c>
      <c r="P139" s="215">
        <v>310</v>
      </c>
      <c r="Q139" s="215">
        <v>310</v>
      </c>
      <c r="R139" s="267">
        <v>310</v>
      </c>
      <c r="S139" s="267">
        <v>310</v>
      </c>
      <c r="T139" s="267">
        <v>310</v>
      </c>
      <c r="U139" s="267">
        <v>310</v>
      </c>
      <c r="V139" s="260">
        <f t="shared" si="43"/>
        <v>1738</v>
      </c>
      <c r="W139" s="305">
        <v>2024</v>
      </c>
      <c r="X139" s="40">
        <f t="shared" si="46"/>
        <v>0</v>
      </c>
      <c r="Y139" s="40">
        <f t="shared" si="47"/>
        <v>0</v>
      </c>
      <c r="Z139" s="40">
        <f t="shared" si="48"/>
        <v>0</v>
      </c>
    </row>
    <row r="140" spans="1:26" ht="51">
      <c r="A140" s="36" t="s">
        <v>272</v>
      </c>
      <c r="B140" s="12">
        <v>1</v>
      </c>
      <c r="C140" s="12">
        <v>1</v>
      </c>
      <c r="D140" s="12">
        <v>4</v>
      </c>
      <c r="E140" s="12">
        <v>0</v>
      </c>
      <c r="F140" s="12">
        <v>4</v>
      </c>
      <c r="G140" s="14"/>
      <c r="H140" s="108" t="s">
        <v>253</v>
      </c>
      <c r="I140" s="14" t="s">
        <v>312</v>
      </c>
      <c r="J140" s="1">
        <v>0</v>
      </c>
      <c r="K140" s="1">
        <v>0</v>
      </c>
      <c r="L140" s="1">
        <v>0</v>
      </c>
      <c r="M140" s="189">
        <v>0</v>
      </c>
      <c r="N140" s="215">
        <v>2360</v>
      </c>
      <c r="O140" s="215">
        <v>2360</v>
      </c>
      <c r="P140" s="215">
        <v>2370</v>
      </c>
      <c r="Q140" s="215">
        <v>2370</v>
      </c>
      <c r="R140" s="267">
        <v>2380</v>
      </c>
      <c r="S140" s="267">
        <v>2380</v>
      </c>
      <c r="T140" s="267">
        <v>2380</v>
      </c>
      <c r="U140" s="267">
        <v>2380</v>
      </c>
      <c r="V140" s="260">
        <f t="shared" si="43"/>
        <v>11870</v>
      </c>
      <c r="W140" s="305">
        <v>2024</v>
      </c>
      <c r="X140" s="40">
        <f t="shared" si="46"/>
        <v>0</v>
      </c>
      <c r="Y140" s="40">
        <f t="shared" si="47"/>
        <v>0</v>
      </c>
      <c r="Z140" s="40">
        <f t="shared" si="48"/>
        <v>0</v>
      </c>
    </row>
    <row r="141" spans="1:27" s="50" customFormat="1" ht="63.75">
      <c r="A141" s="65" t="s">
        <v>272</v>
      </c>
      <c r="B141" s="11">
        <v>1</v>
      </c>
      <c r="C141" s="11">
        <v>1</v>
      </c>
      <c r="D141" s="11">
        <v>5</v>
      </c>
      <c r="E141" s="11">
        <v>0</v>
      </c>
      <c r="F141" s="11">
        <v>0</v>
      </c>
      <c r="G141" s="11"/>
      <c r="H141" s="49" t="s">
        <v>17</v>
      </c>
      <c r="I141" s="11" t="s">
        <v>273</v>
      </c>
      <c r="J141" s="10">
        <f aca="true" t="shared" si="49" ref="J141:U141">J142</f>
        <v>588</v>
      </c>
      <c r="K141" s="10">
        <f t="shared" si="49"/>
        <v>588</v>
      </c>
      <c r="L141" s="10">
        <f t="shared" si="49"/>
        <v>488</v>
      </c>
      <c r="M141" s="161">
        <f t="shared" si="49"/>
        <v>488</v>
      </c>
      <c r="N141" s="218">
        <f t="shared" si="49"/>
        <v>558.1</v>
      </c>
      <c r="O141" s="218">
        <f t="shared" si="49"/>
        <v>558.1</v>
      </c>
      <c r="P141" s="218">
        <f t="shared" si="49"/>
        <v>558.1</v>
      </c>
      <c r="Q141" s="218">
        <f t="shared" si="49"/>
        <v>558.1</v>
      </c>
      <c r="R141" s="218">
        <f t="shared" si="49"/>
        <v>558.1</v>
      </c>
      <c r="S141" s="218">
        <f t="shared" si="49"/>
        <v>558.1</v>
      </c>
      <c r="T141" s="218">
        <f t="shared" si="49"/>
        <v>558.1</v>
      </c>
      <c r="U141" s="218">
        <f t="shared" si="49"/>
        <v>558.1</v>
      </c>
      <c r="V141" s="218">
        <f t="shared" si="43"/>
        <v>4942.5</v>
      </c>
      <c r="W141" s="306">
        <v>2024</v>
      </c>
      <c r="X141" s="40">
        <f t="shared" si="46"/>
        <v>0</v>
      </c>
      <c r="Y141" s="40">
        <f t="shared" si="47"/>
        <v>0</v>
      </c>
      <c r="Z141" s="40">
        <f t="shared" si="48"/>
        <v>0</v>
      </c>
      <c r="AA141" s="37"/>
    </row>
    <row r="142" spans="1:27" s="50" customFormat="1" ht="12.75">
      <c r="A142" s="36" t="s">
        <v>272</v>
      </c>
      <c r="B142" s="12">
        <v>1</v>
      </c>
      <c r="C142" s="12">
        <v>1</v>
      </c>
      <c r="D142" s="12">
        <v>5</v>
      </c>
      <c r="E142" s="12">
        <v>0</v>
      </c>
      <c r="F142" s="12">
        <v>0</v>
      </c>
      <c r="G142" s="12">
        <v>3</v>
      </c>
      <c r="H142" s="42" t="s">
        <v>274</v>
      </c>
      <c r="I142" s="12" t="s">
        <v>273</v>
      </c>
      <c r="J142" s="19">
        <f aca="true" t="shared" si="50" ref="J142:U142">J149+J154+J160</f>
        <v>588</v>
      </c>
      <c r="K142" s="19">
        <f t="shared" si="50"/>
        <v>588</v>
      </c>
      <c r="L142" s="19">
        <f t="shared" si="50"/>
        <v>488</v>
      </c>
      <c r="M142" s="158">
        <f t="shared" si="50"/>
        <v>488</v>
      </c>
      <c r="N142" s="209">
        <f t="shared" si="50"/>
        <v>558.1</v>
      </c>
      <c r="O142" s="209">
        <f t="shared" si="50"/>
        <v>558.1</v>
      </c>
      <c r="P142" s="209">
        <f t="shared" si="50"/>
        <v>558.1</v>
      </c>
      <c r="Q142" s="209">
        <f t="shared" si="50"/>
        <v>558.1</v>
      </c>
      <c r="R142" s="209">
        <f t="shared" si="50"/>
        <v>558.1</v>
      </c>
      <c r="S142" s="209">
        <f t="shared" si="50"/>
        <v>558.1</v>
      </c>
      <c r="T142" s="209">
        <f t="shared" si="50"/>
        <v>558.1</v>
      </c>
      <c r="U142" s="209">
        <f t="shared" si="50"/>
        <v>558.1</v>
      </c>
      <c r="V142" s="259">
        <f t="shared" si="43"/>
        <v>4942.5</v>
      </c>
      <c r="W142" s="303">
        <v>2024</v>
      </c>
      <c r="X142" s="40">
        <f t="shared" si="46"/>
        <v>0</v>
      </c>
      <c r="Y142" s="40">
        <f t="shared" si="47"/>
        <v>0</v>
      </c>
      <c r="Z142" s="40">
        <f t="shared" si="48"/>
        <v>0</v>
      </c>
      <c r="AA142" s="37"/>
    </row>
    <row r="143" spans="1:26" ht="63.75">
      <c r="A143" s="36" t="s">
        <v>272</v>
      </c>
      <c r="B143" s="12">
        <v>1</v>
      </c>
      <c r="C143" s="12">
        <v>1</v>
      </c>
      <c r="D143" s="12">
        <v>5</v>
      </c>
      <c r="E143" s="12">
        <v>0</v>
      </c>
      <c r="F143" s="12">
        <v>0</v>
      </c>
      <c r="G143" s="14"/>
      <c r="H143" s="63" t="s">
        <v>324</v>
      </c>
      <c r="I143" s="14" t="s">
        <v>278</v>
      </c>
      <c r="J143" s="25">
        <v>20</v>
      </c>
      <c r="K143" s="25">
        <v>20.3</v>
      </c>
      <c r="L143" s="25">
        <v>19.9</v>
      </c>
      <c r="M143" s="156">
        <v>19.9</v>
      </c>
      <c r="N143" s="210">
        <v>19.9</v>
      </c>
      <c r="O143" s="210">
        <v>19.9</v>
      </c>
      <c r="P143" s="210">
        <v>20</v>
      </c>
      <c r="Q143" s="210">
        <v>20</v>
      </c>
      <c r="R143" s="210">
        <v>20</v>
      </c>
      <c r="S143" s="210">
        <v>20</v>
      </c>
      <c r="T143" s="210">
        <v>20.1</v>
      </c>
      <c r="U143" s="210">
        <v>20.2</v>
      </c>
      <c r="V143" s="222">
        <v>20.2</v>
      </c>
      <c r="W143" s="305">
        <v>2024</v>
      </c>
      <c r="X143" s="40">
        <f t="shared" si="46"/>
        <v>0</v>
      </c>
      <c r="Y143" s="40">
        <f t="shared" si="47"/>
        <v>0</v>
      </c>
      <c r="Z143" s="40">
        <f t="shared" si="48"/>
        <v>0</v>
      </c>
    </row>
    <row r="144" spans="1:26" ht="51">
      <c r="A144" s="36" t="s">
        <v>272</v>
      </c>
      <c r="B144" s="12">
        <v>1</v>
      </c>
      <c r="C144" s="12">
        <v>1</v>
      </c>
      <c r="D144" s="12">
        <v>5</v>
      </c>
      <c r="E144" s="12">
        <v>0</v>
      </c>
      <c r="F144" s="12">
        <v>0</v>
      </c>
      <c r="G144" s="14"/>
      <c r="H144" s="63" t="s">
        <v>325</v>
      </c>
      <c r="I144" s="14" t="s">
        <v>278</v>
      </c>
      <c r="J144" s="25">
        <v>26</v>
      </c>
      <c r="K144" s="25">
        <v>31.8</v>
      </c>
      <c r="L144" s="25">
        <v>35</v>
      </c>
      <c r="M144" s="156">
        <v>35.3</v>
      </c>
      <c r="N144" s="231">
        <v>35.3</v>
      </c>
      <c r="O144" s="231">
        <v>35.3</v>
      </c>
      <c r="P144" s="210">
        <v>36.3</v>
      </c>
      <c r="Q144" s="210">
        <v>36.3</v>
      </c>
      <c r="R144" s="210">
        <v>36.3</v>
      </c>
      <c r="S144" s="210">
        <v>36.3</v>
      </c>
      <c r="T144" s="210">
        <v>36.4</v>
      </c>
      <c r="U144" s="210">
        <v>36.4</v>
      </c>
      <c r="V144" s="222">
        <v>36.4</v>
      </c>
      <c r="W144" s="305">
        <v>2024</v>
      </c>
      <c r="X144" s="40">
        <f t="shared" si="46"/>
        <v>0</v>
      </c>
      <c r="Y144" s="40">
        <f t="shared" si="47"/>
        <v>0</v>
      </c>
      <c r="Z144" s="40">
        <f t="shared" si="48"/>
        <v>0</v>
      </c>
    </row>
    <row r="145" spans="1:26" ht="63.75">
      <c r="A145" s="51" t="s">
        <v>272</v>
      </c>
      <c r="B145" s="17">
        <v>1</v>
      </c>
      <c r="C145" s="17">
        <v>1</v>
      </c>
      <c r="D145" s="17">
        <v>5</v>
      </c>
      <c r="E145" s="17">
        <v>0</v>
      </c>
      <c r="F145" s="17">
        <v>1</v>
      </c>
      <c r="G145" s="20"/>
      <c r="H145" s="52" t="s">
        <v>235</v>
      </c>
      <c r="I145" s="20" t="s">
        <v>297</v>
      </c>
      <c r="J145" s="23" t="s">
        <v>298</v>
      </c>
      <c r="K145" s="23" t="s">
        <v>298</v>
      </c>
      <c r="L145" s="23" t="s">
        <v>298</v>
      </c>
      <c r="M145" s="145" t="s">
        <v>298</v>
      </c>
      <c r="N145" s="219" t="s">
        <v>298</v>
      </c>
      <c r="O145" s="219" t="s">
        <v>298</v>
      </c>
      <c r="P145" s="219" t="s">
        <v>298</v>
      </c>
      <c r="Q145" s="219" t="s">
        <v>298</v>
      </c>
      <c r="R145" s="219" t="s">
        <v>298</v>
      </c>
      <c r="S145" s="219" t="s">
        <v>298</v>
      </c>
      <c r="T145" s="219" t="s">
        <v>298</v>
      </c>
      <c r="U145" s="219" t="s">
        <v>298</v>
      </c>
      <c r="V145" s="219" t="s">
        <v>298</v>
      </c>
      <c r="W145" s="307">
        <v>2024</v>
      </c>
      <c r="X145" s="40"/>
      <c r="Y145" s="40"/>
      <c r="Z145" s="40"/>
    </row>
    <row r="146" spans="1:26" ht="63.75">
      <c r="A146" s="36" t="s">
        <v>272</v>
      </c>
      <c r="B146" s="12">
        <v>1</v>
      </c>
      <c r="C146" s="12">
        <v>1</v>
      </c>
      <c r="D146" s="12">
        <v>5</v>
      </c>
      <c r="E146" s="12">
        <v>0</v>
      </c>
      <c r="F146" s="12">
        <v>1</v>
      </c>
      <c r="G146" s="14"/>
      <c r="H146" s="63" t="s">
        <v>187</v>
      </c>
      <c r="I146" s="14" t="s">
        <v>312</v>
      </c>
      <c r="J146" s="1">
        <v>10</v>
      </c>
      <c r="K146" s="1">
        <v>10</v>
      </c>
      <c r="L146" s="1">
        <v>10</v>
      </c>
      <c r="M146" s="189">
        <v>10</v>
      </c>
      <c r="N146" s="215">
        <v>10</v>
      </c>
      <c r="O146" s="215">
        <v>10</v>
      </c>
      <c r="P146" s="215">
        <v>10</v>
      </c>
      <c r="Q146" s="215">
        <v>10</v>
      </c>
      <c r="R146" s="267">
        <v>10</v>
      </c>
      <c r="S146" s="267">
        <v>10</v>
      </c>
      <c r="T146" s="267">
        <v>10</v>
      </c>
      <c r="U146" s="267">
        <v>10</v>
      </c>
      <c r="V146" s="260">
        <f>J146+K146+L146+M146+O146+Q146+S146+T146+U146</f>
        <v>90</v>
      </c>
      <c r="W146" s="305">
        <v>2024</v>
      </c>
      <c r="X146" s="40">
        <f t="shared" si="46"/>
        <v>0</v>
      </c>
      <c r="Y146" s="40">
        <f t="shared" si="47"/>
        <v>0</v>
      </c>
      <c r="Z146" s="40">
        <f t="shared" si="48"/>
        <v>0</v>
      </c>
    </row>
    <row r="147" spans="1:26" ht="63.75">
      <c r="A147" s="36" t="s">
        <v>272</v>
      </c>
      <c r="B147" s="12">
        <v>1</v>
      </c>
      <c r="C147" s="12">
        <v>1</v>
      </c>
      <c r="D147" s="12">
        <v>5</v>
      </c>
      <c r="E147" s="12">
        <v>0</v>
      </c>
      <c r="F147" s="12">
        <v>1</v>
      </c>
      <c r="G147" s="14"/>
      <c r="H147" s="63" t="s">
        <v>285</v>
      </c>
      <c r="I147" s="14" t="s">
        <v>278</v>
      </c>
      <c r="J147" s="25">
        <v>100</v>
      </c>
      <c r="K147" s="25">
        <v>100</v>
      </c>
      <c r="L147" s="25">
        <v>100</v>
      </c>
      <c r="M147" s="156">
        <v>100</v>
      </c>
      <c r="N147" s="210">
        <v>100</v>
      </c>
      <c r="O147" s="210">
        <v>100</v>
      </c>
      <c r="P147" s="210">
        <v>100</v>
      </c>
      <c r="Q147" s="210">
        <v>100</v>
      </c>
      <c r="R147" s="210">
        <v>100</v>
      </c>
      <c r="S147" s="210">
        <v>100</v>
      </c>
      <c r="T147" s="210">
        <v>100</v>
      </c>
      <c r="U147" s="210">
        <v>100</v>
      </c>
      <c r="V147" s="222">
        <v>100</v>
      </c>
      <c r="W147" s="305">
        <v>2024</v>
      </c>
      <c r="X147" s="40">
        <f t="shared" si="46"/>
        <v>0</v>
      </c>
      <c r="Y147" s="40">
        <f t="shared" si="47"/>
        <v>0</v>
      </c>
      <c r="Z147" s="40">
        <f t="shared" si="48"/>
        <v>0</v>
      </c>
    </row>
    <row r="148" spans="1:27" s="50" customFormat="1" ht="76.5">
      <c r="A148" s="51" t="s">
        <v>272</v>
      </c>
      <c r="B148" s="17">
        <v>1</v>
      </c>
      <c r="C148" s="17">
        <v>1</v>
      </c>
      <c r="D148" s="17">
        <v>5</v>
      </c>
      <c r="E148" s="17">
        <v>0</v>
      </c>
      <c r="F148" s="17">
        <v>2</v>
      </c>
      <c r="G148" s="17"/>
      <c r="H148" s="68" t="s">
        <v>98</v>
      </c>
      <c r="I148" s="17" t="s">
        <v>273</v>
      </c>
      <c r="J148" s="7">
        <v>93</v>
      </c>
      <c r="K148" s="7">
        <f aca="true" t="shared" si="51" ref="K148:U148">K149</f>
        <v>255</v>
      </c>
      <c r="L148" s="7">
        <f t="shared" si="51"/>
        <v>155</v>
      </c>
      <c r="M148" s="144">
        <f t="shared" si="51"/>
        <v>155</v>
      </c>
      <c r="N148" s="216">
        <f t="shared" si="51"/>
        <v>155</v>
      </c>
      <c r="O148" s="216">
        <f t="shared" si="51"/>
        <v>155</v>
      </c>
      <c r="P148" s="216">
        <f t="shared" si="51"/>
        <v>155</v>
      </c>
      <c r="Q148" s="216">
        <f t="shared" si="51"/>
        <v>155</v>
      </c>
      <c r="R148" s="216">
        <f t="shared" si="51"/>
        <v>155</v>
      </c>
      <c r="S148" s="216">
        <f t="shared" si="51"/>
        <v>155</v>
      </c>
      <c r="T148" s="216">
        <f t="shared" si="51"/>
        <v>155</v>
      </c>
      <c r="U148" s="216">
        <f t="shared" si="51"/>
        <v>155</v>
      </c>
      <c r="V148" s="216">
        <f>J148+K148+L148+M148+O148+Q148+S148+T148+U148</f>
        <v>1433</v>
      </c>
      <c r="W148" s="308">
        <v>2024</v>
      </c>
      <c r="X148" s="40">
        <f t="shared" si="46"/>
        <v>0</v>
      </c>
      <c r="Y148" s="40">
        <f t="shared" si="47"/>
        <v>0</v>
      </c>
      <c r="Z148" s="40">
        <f t="shared" si="48"/>
        <v>0</v>
      </c>
      <c r="AA148" s="37"/>
    </row>
    <row r="149" spans="1:27" s="50" customFormat="1" ht="12.75">
      <c r="A149" s="36" t="s">
        <v>272</v>
      </c>
      <c r="B149" s="12">
        <v>1</v>
      </c>
      <c r="C149" s="12">
        <v>1</v>
      </c>
      <c r="D149" s="12">
        <v>5</v>
      </c>
      <c r="E149" s="12">
        <v>0</v>
      </c>
      <c r="F149" s="12">
        <v>2</v>
      </c>
      <c r="G149" s="12">
        <v>3</v>
      </c>
      <c r="H149" s="42" t="s">
        <v>274</v>
      </c>
      <c r="I149" s="12" t="s">
        <v>273</v>
      </c>
      <c r="J149" s="19">
        <v>93</v>
      </c>
      <c r="K149" s="19">
        <v>255</v>
      </c>
      <c r="L149" s="19">
        <v>155</v>
      </c>
      <c r="M149" s="150">
        <v>155</v>
      </c>
      <c r="N149" s="217">
        <v>155</v>
      </c>
      <c r="O149" s="217">
        <v>155</v>
      </c>
      <c r="P149" s="217">
        <v>155</v>
      </c>
      <c r="Q149" s="217">
        <v>155</v>
      </c>
      <c r="R149" s="259">
        <v>155</v>
      </c>
      <c r="S149" s="259">
        <v>155</v>
      </c>
      <c r="T149" s="259">
        <v>155</v>
      </c>
      <c r="U149" s="259">
        <v>155</v>
      </c>
      <c r="V149" s="259">
        <f>J149+K149+L149+M149+O149+Q149+S149+T149+U149</f>
        <v>1433</v>
      </c>
      <c r="W149" s="303">
        <v>2024</v>
      </c>
      <c r="X149" s="40">
        <f t="shared" si="46"/>
        <v>0</v>
      </c>
      <c r="Y149" s="40">
        <f t="shared" si="47"/>
        <v>0</v>
      </c>
      <c r="Z149" s="40">
        <f t="shared" si="48"/>
        <v>0</v>
      </c>
      <c r="AA149" s="37"/>
    </row>
    <row r="150" spans="1:26" ht="38.25">
      <c r="A150" s="36" t="s">
        <v>272</v>
      </c>
      <c r="B150" s="12">
        <v>1</v>
      </c>
      <c r="C150" s="12">
        <v>1</v>
      </c>
      <c r="D150" s="12">
        <v>5</v>
      </c>
      <c r="E150" s="12">
        <v>0</v>
      </c>
      <c r="F150" s="12">
        <v>2</v>
      </c>
      <c r="G150" s="14"/>
      <c r="H150" s="58" t="s">
        <v>259</v>
      </c>
      <c r="I150" s="14" t="s">
        <v>312</v>
      </c>
      <c r="J150" s="1">
        <v>6</v>
      </c>
      <c r="K150" s="1">
        <f>7+6</f>
        <v>13</v>
      </c>
      <c r="L150" s="1">
        <v>8</v>
      </c>
      <c r="M150" s="189">
        <v>7</v>
      </c>
      <c r="N150" s="215">
        <v>10</v>
      </c>
      <c r="O150" s="215">
        <v>10</v>
      </c>
      <c r="P150" s="215">
        <v>14</v>
      </c>
      <c r="Q150" s="215">
        <v>14</v>
      </c>
      <c r="R150" s="215">
        <v>14</v>
      </c>
      <c r="S150" s="215">
        <v>14</v>
      </c>
      <c r="T150" s="215">
        <v>14</v>
      </c>
      <c r="U150" s="215">
        <v>14</v>
      </c>
      <c r="V150" s="260">
        <f>SUM(J150:U150)</f>
        <v>138</v>
      </c>
      <c r="W150" s="305">
        <v>2024</v>
      </c>
      <c r="X150" s="40">
        <f t="shared" si="46"/>
        <v>0</v>
      </c>
      <c r="Y150" s="40">
        <f t="shared" si="47"/>
        <v>0</v>
      </c>
      <c r="Z150" s="40">
        <f t="shared" si="48"/>
        <v>0</v>
      </c>
    </row>
    <row r="151" spans="1:26" ht="89.25">
      <c r="A151" s="36" t="s">
        <v>272</v>
      </c>
      <c r="B151" s="12">
        <v>1</v>
      </c>
      <c r="C151" s="12">
        <v>1</v>
      </c>
      <c r="D151" s="12">
        <v>5</v>
      </c>
      <c r="E151" s="12">
        <v>0</v>
      </c>
      <c r="F151" s="12">
        <v>2</v>
      </c>
      <c r="G151" s="14"/>
      <c r="H151" s="58" t="s">
        <v>47</v>
      </c>
      <c r="I151" s="14" t="s">
        <v>312</v>
      </c>
      <c r="J151" s="1">
        <v>5</v>
      </c>
      <c r="K151" s="1">
        <f>6-1</f>
        <v>5</v>
      </c>
      <c r="L151" s="1">
        <v>6</v>
      </c>
      <c r="M151" s="189">
        <v>12</v>
      </c>
      <c r="N151" s="215">
        <v>7</v>
      </c>
      <c r="O151" s="215">
        <v>7</v>
      </c>
      <c r="P151" s="215">
        <v>10</v>
      </c>
      <c r="Q151" s="215">
        <v>10</v>
      </c>
      <c r="R151" s="215">
        <v>10</v>
      </c>
      <c r="S151" s="215">
        <v>10</v>
      </c>
      <c r="T151" s="215">
        <v>10</v>
      </c>
      <c r="U151" s="215">
        <v>10</v>
      </c>
      <c r="V151" s="260">
        <f>SUM(J151:U151)</f>
        <v>102</v>
      </c>
      <c r="W151" s="305">
        <v>2024</v>
      </c>
      <c r="X151" s="40">
        <f t="shared" si="46"/>
        <v>0</v>
      </c>
      <c r="Y151" s="40">
        <f t="shared" si="47"/>
        <v>0</v>
      </c>
      <c r="Z151" s="40">
        <f t="shared" si="48"/>
        <v>0</v>
      </c>
    </row>
    <row r="152" spans="1:26" ht="51">
      <c r="A152" s="36" t="s">
        <v>272</v>
      </c>
      <c r="B152" s="12">
        <v>1</v>
      </c>
      <c r="C152" s="12">
        <v>1</v>
      </c>
      <c r="D152" s="12">
        <v>5</v>
      </c>
      <c r="E152" s="12">
        <v>0</v>
      </c>
      <c r="F152" s="12">
        <v>2</v>
      </c>
      <c r="G152" s="14"/>
      <c r="H152" s="58" t="s">
        <v>132</v>
      </c>
      <c r="I152" s="14" t="s">
        <v>301</v>
      </c>
      <c r="J152" s="1">
        <v>45</v>
      </c>
      <c r="K152" s="1">
        <v>100</v>
      </c>
      <c r="L152" s="1">
        <v>260</v>
      </c>
      <c r="M152" s="189">
        <v>252</v>
      </c>
      <c r="N152" s="215">
        <v>100</v>
      </c>
      <c r="O152" s="215">
        <v>100</v>
      </c>
      <c r="P152" s="215">
        <v>120</v>
      </c>
      <c r="Q152" s="215">
        <v>120</v>
      </c>
      <c r="R152" s="215">
        <v>120</v>
      </c>
      <c r="S152" s="215">
        <v>120</v>
      </c>
      <c r="T152" s="215">
        <v>120</v>
      </c>
      <c r="U152" s="215">
        <v>120</v>
      </c>
      <c r="V152" s="260">
        <f>SUM(J152:U152)</f>
        <v>1577</v>
      </c>
      <c r="W152" s="305">
        <v>2024</v>
      </c>
      <c r="X152" s="40">
        <f t="shared" si="46"/>
        <v>0</v>
      </c>
      <c r="Y152" s="40">
        <f t="shared" si="47"/>
        <v>0</v>
      </c>
      <c r="Z152" s="40">
        <f t="shared" si="48"/>
        <v>0</v>
      </c>
    </row>
    <row r="153" spans="1:27" s="50" customFormat="1" ht="89.25">
      <c r="A153" s="51" t="s">
        <v>272</v>
      </c>
      <c r="B153" s="17">
        <v>1</v>
      </c>
      <c r="C153" s="17">
        <v>1</v>
      </c>
      <c r="D153" s="17">
        <v>5</v>
      </c>
      <c r="E153" s="17">
        <v>0</v>
      </c>
      <c r="F153" s="17">
        <v>3</v>
      </c>
      <c r="G153" s="17"/>
      <c r="H153" s="131" t="s">
        <v>99</v>
      </c>
      <c r="I153" s="17" t="s">
        <v>273</v>
      </c>
      <c r="J153" s="7">
        <f aca="true" t="shared" si="52" ref="J153:U153">J154</f>
        <v>295</v>
      </c>
      <c r="K153" s="7">
        <f t="shared" si="52"/>
        <v>188</v>
      </c>
      <c r="L153" s="7">
        <f t="shared" si="52"/>
        <v>188</v>
      </c>
      <c r="M153" s="144">
        <f t="shared" si="52"/>
        <v>188</v>
      </c>
      <c r="N153" s="213">
        <f t="shared" si="52"/>
        <v>258.1</v>
      </c>
      <c r="O153" s="213">
        <f t="shared" si="52"/>
        <v>258.1</v>
      </c>
      <c r="P153" s="213">
        <f t="shared" si="52"/>
        <v>258.1</v>
      </c>
      <c r="Q153" s="213">
        <f t="shared" si="52"/>
        <v>258.1</v>
      </c>
      <c r="R153" s="213">
        <f t="shared" si="52"/>
        <v>258.1</v>
      </c>
      <c r="S153" s="213">
        <f t="shared" si="52"/>
        <v>258.1</v>
      </c>
      <c r="T153" s="213">
        <f t="shared" si="52"/>
        <v>258.1</v>
      </c>
      <c r="U153" s="213">
        <f t="shared" si="52"/>
        <v>258.1</v>
      </c>
      <c r="V153" s="216">
        <f aca="true" t="shared" si="53" ref="V153:V164">J153+K153+L153+M153+O153+Q153+S153+T153+U153</f>
        <v>2149.5</v>
      </c>
      <c r="W153" s="308">
        <v>2024</v>
      </c>
      <c r="X153" s="40">
        <f t="shared" si="46"/>
        <v>0</v>
      </c>
      <c r="Y153" s="40">
        <f t="shared" si="47"/>
        <v>0</v>
      </c>
      <c r="Z153" s="40">
        <f t="shared" si="48"/>
        <v>0</v>
      </c>
      <c r="AA153" s="37"/>
    </row>
    <row r="154" spans="1:27" s="50" customFormat="1" ht="12.75">
      <c r="A154" s="36" t="s">
        <v>272</v>
      </c>
      <c r="B154" s="12">
        <v>1</v>
      </c>
      <c r="C154" s="12">
        <v>1</v>
      </c>
      <c r="D154" s="12">
        <v>5</v>
      </c>
      <c r="E154" s="12">
        <v>0</v>
      </c>
      <c r="F154" s="12">
        <v>3</v>
      </c>
      <c r="G154" s="12">
        <v>3</v>
      </c>
      <c r="H154" s="42" t="s">
        <v>274</v>
      </c>
      <c r="I154" s="12" t="s">
        <v>273</v>
      </c>
      <c r="J154" s="19">
        <v>295</v>
      </c>
      <c r="K154" s="19">
        <v>188</v>
      </c>
      <c r="L154" s="19">
        <v>188</v>
      </c>
      <c r="M154" s="158">
        <v>188</v>
      </c>
      <c r="N154" s="214">
        <v>258.1</v>
      </c>
      <c r="O154" s="214">
        <v>258.1</v>
      </c>
      <c r="P154" s="214">
        <v>258.1</v>
      </c>
      <c r="Q154" s="214">
        <v>258.1</v>
      </c>
      <c r="R154" s="209">
        <v>258.1</v>
      </c>
      <c r="S154" s="209">
        <v>258.1</v>
      </c>
      <c r="T154" s="209">
        <v>258.1</v>
      </c>
      <c r="U154" s="209">
        <v>258.1</v>
      </c>
      <c r="V154" s="259">
        <f t="shared" si="53"/>
        <v>2149.5</v>
      </c>
      <c r="W154" s="303">
        <v>2024</v>
      </c>
      <c r="X154" s="40">
        <f t="shared" si="46"/>
        <v>0</v>
      </c>
      <c r="Y154" s="40">
        <f t="shared" si="47"/>
        <v>0</v>
      </c>
      <c r="Z154" s="40">
        <f t="shared" si="48"/>
        <v>0</v>
      </c>
      <c r="AA154" s="37"/>
    </row>
    <row r="155" spans="1:26" ht="51">
      <c r="A155" s="36" t="s">
        <v>272</v>
      </c>
      <c r="B155" s="12">
        <v>1</v>
      </c>
      <c r="C155" s="12">
        <v>1</v>
      </c>
      <c r="D155" s="12">
        <v>5</v>
      </c>
      <c r="E155" s="12">
        <v>0</v>
      </c>
      <c r="F155" s="12">
        <v>3</v>
      </c>
      <c r="G155" s="14"/>
      <c r="H155" s="58" t="s">
        <v>76</v>
      </c>
      <c r="I155" s="14" t="s">
        <v>312</v>
      </c>
      <c r="J155" s="1">
        <v>1</v>
      </c>
      <c r="K155" s="1">
        <v>1</v>
      </c>
      <c r="L155" s="1">
        <v>1</v>
      </c>
      <c r="M155" s="189">
        <v>1</v>
      </c>
      <c r="N155" s="215">
        <v>1</v>
      </c>
      <c r="O155" s="215">
        <v>1</v>
      </c>
      <c r="P155" s="215">
        <v>1</v>
      </c>
      <c r="Q155" s="215">
        <v>1</v>
      </c>
      <c r="R155" s="215">
        <v>1</v>
      </c>
      <c r="S155" s="215">
        <v>1</v>
      </c>
      <c r="T155" s="215">
        <v>1</v>
      </c>
      <c r="U155" s="215">
        <v>1</v>
      </c>
      <c r="V155" s="260">
        <f t="shared" si="53"/>
        <v>9</v>
      </c>
      <c r="W155" s="305">
        <v>2024</v>
      </c>
      <c r="X155" s="40">
        <f t="shared" si="46"/>
        <v>0</v>
      </c>
      <c r="Y155" s="40">
        <f t="shared" si="47"/>
        <v>0</v>
      </c>
      <c r="Z155" s="40">
        <f t="shared" si="48"/>
        <v>0</v>
      </c>
    </row>
    <row r="156" spans="1:26" ht="51">
      <c r="A156" s="36" t="s">
        <v>272</v>
      </c>
      <c r="B156" s="12">
        <v>1</v>
      </c>
      <c r="C156" s="12">
        <v>1</v>
      </c>
      <c r="D156" s="12">
        <v>5</v>
      </c>
      <c r="E156" s="12">
        <v>0</v>
      </c>
      <c r="F156" s="12">
        <v>3</v>
      </c>
      <c r="G156" s="14"/>
      <c r="H156" s="124" t="s">
        <v>33</v>
      </c>
      <c r="I156" s="14" t="s">
        <v>301</v>
      </c>
      <c r="J156" s="1">
        <v>225</v>
      </c>
      <c r="K156" s="1">
        <v>230</v>
      </c>
      <c r="L156" s="1">
        <v>68</v>
      </c>
      <c r="M156" s="163">
        <v>200</v>
      </c>
      <c r="N156" s="224">
        <v>205</v>
      </c>
      <c r="O156" s="224">
        <v>205</v>
      </c>
      <c r="P156" s="224">
        <v>205</v>
      </c>
      <c r="Q156" s="224">
        <v>205</v>
      </c>
      <c r="R156" s="224">
        <v>205</v>
      </c>
      <c r="S156" s="224">
        <v>205</v>
      </c>
      <c r="T156" s="224">
        <v>205</v>
      </c>
      <c r="U156" s="224">
        <v>205</v>
      </c>
      <c r="V156" s="260">
        <f t="shared" si="53"/>
        <v>1748</v>
      </c>
      <c r="W156" s="305">
        <v>2024</v>
      </c>
      <c r="X156" s="40">
        <f t="shared" si="46"/>
        <v>0</v>
      </c>
      <c r="Y156" s="40">
        <f t="shared" si="47"/>
        <v>0</v>
      </c>
      <c r="Z156" s="40">
        <f t="shared" si="48"/>
        <v>0</v>
      </c>
    </row>
    <row r="157" spans="1:26" ht="51">
      <c r="A157" s="36" t="s">
        <v>272</v>
      </c>
      <c r="B157" s="12">
        <v>1</v>
      </c>
      <c r="C157" s="12">
        <v>1</v>
      </c>
      <c r="D157" s="12">
        <v>5</v>
      </c>
      <c r="E157" s="12">
        <v>0</v>
      </c>
      <c r="F157" s="12">
        <v>3</v>
      </c>
      <c r="G157" s="14"/>
      <c r="H157" s="58" t="s">
        <v>245</v>
      </c>
      <c r="I157" s="14" t="s">
        <v>312</v>
      </c>
      <c r="J157" s="1">
        <v>1</v>
      </c>
      <c r="K157" s="1">
        <v>1</v>
      </c>
      <c r="L157" s="1">
        <v>1</v>
      </c>
      <c r="M157" s="189">
        <v>1</v>
      </c>
      <c r="N157" s="215">
        <v>1</v>
      </c>
      <c r="O157" s="215">
        <v>1</v>
      </c>
      <c r="P157" s="215">
        <v>1</v>
      </c>
      <c r="Q157" s="215">
        <v>1</v>
      </c>
      <c r="R157" s="215">
        <v>1</v>
      </c>
      <c r="S157" s="215">
        <v>1</v>
      </c>
      <c r="T157" s="215">
        <v>1</v>
      </c>
      <c r="U157" s="215">
        <v>1</v>
      </c>
      <c r="V157" s="260">
        <f t="shared" si="53"/>
        <v>9</v>
      </c>
      <c r="W157" s="305">
        <v>2024</v>
      </c>
      <c r="X157" s="40">
        <f t="shared" si="46"/>
        <v>0</v>
      </c>
      <c r="Y157" s="40">
        <f t="shared" si="47"/>
        <v>0</v>
      </c>
      <c r="Z157" s="40">
        <f t="shared" si="48"/>
        <v>0</v>
      </c>
    </row>
    <row r="158" spans="1:26" ht="38.25">
      <c r="A158" s="36" t="s">
        <v>272</v>
      </c>
      <c r="B158" s="12">
        <v>1</v>
      </c>
      <c r="C158" s="12">
        <v>1</v>
      </c>
      <c r="D158" s="12">
        <v>5</v>
      </c>
      <c r="E158" s="12">
        <v>0</v>
      </c>
      <c r="F158" s="12">
        <v>3</v>
      </c>
      <c r="G158" s="14"/>
      <c r="H158" s="124" t="s">
        <v>133</v>
      </c>
      <c r="I158" s="14" t="s">
        <v>301</v>
      </c>
      <c r="J158" s="1">
        <v>15</v>
      </c>
      <c r="K158" s="1">
        <f>12+20</f>
        <v>32</v>
      </c>
      <c r="L158" s="1">
        <v>62</v>
      </c>
      <c r="M158" s="163">
        <v>29</v>
      </c>
      <c r="N158" s="215">
        <v>30</v>
      </c>
      <c r="O158" s="215">
        <v>30</v>
      </c>
      <c r="P158" s="215">
        <v>30</v>
      </c>
      <c r="Q158" s="215">
        <v>30</v>
      </c>
      <c r="R158" s="267">
        <v>34</v>
      </c>
      <c r="S158" s="267">
        <v>34</v>
      </c>
      <c r="T158" s="267">
        <v>34</v>
      </c>
      <c r="U158" s="267">
        <v>34</v>
      </c>
      <c r="V158" s="260">
        <f t="shared" si="53"/>
        <v>300</v>
      </c>
      <c r="W158" s="305">
        <v>2024</v>
      </c>
      <c r="X158" s="40">
        <f t="shared" si="46"/>
        <v>0</v>
      </c>
      <c r="Y158" s="40">
        <f t="shared" si="47"/>
        <v>0</v>
      </c>
      <c r="Z158" s="40">
        <f t="shared" si="48"/>
        <v>0</v>
      </c>
    </row>
    <row r="159" spans="1:27" s="50" customFormat="1" ht="76.5">
      <c r="A159" s="51" t="s">
        <v>272</v>
      </c>
      <c r="B159" s="17">
        <v>1</v>
      </c>
      <c r="C159" s="17">
        <v>1</v>
      </c>
      <c r="D159" s="17">
        <v>5</v>
      </c>
      <c r="E159" s="17">
        <v>0</v>
      </c>
      <c r="F159" s="17">
        <v>4</v>
      </c>
      <c r="G159" s="17">
        <v>3</v>
      </c>
      <c r="H159" s="53" t="s">
        <v>100</v>
      </c>
      <c r="I159" s="17" t="s">
        <v>273</v>
      </c>
      <c r="J159" s="7">
        <f aca="true" t="shared" si="54" ref="J159:U159">J160</f>
        <v>200</v>
      </c>
      <c r="K159" s="7">
        <f t="shared" si="54"/>
        <v>145</v>
      </c>
      <c r="L159" s="7">
        <f t="shared" si="54"/>
        <v>145</v>
      </c>
      <c r="M159" s="144">
        <f t="shared" si="54"/>
        <v>145</v>
      </c>
      <c r="N159" s="213">
        <f t="shared" si="54"/>
        <v>145</v>
      </c>
      <c r="O159" s="213">
        <f t="shared" si="54"/>
        <v>145</v>
      </c>
      <c r="P159" s="213">
        <f t="shared" si="54"/>
        <v>145</v>
      </c>
      <c r="Q159" s="213">
        <f t="shared" si="54"/>
        <v>145</v>
      </c>
      <c r="R159" s="213">
        <f t="shared" si="54"/>
        <v>145</v>
      </c>
      <c r="S159" s="213">
        <f t="shared" si="54"/>
        <v>145</v>
      </c>
      <c r="T159" s="213">
        <f t="shared" si="54"/>
        <v>145</v>
      </c>
      <c r="U159" s="213">
        <f t="shared" si="54"/>
        <v>145</v>
      </c>
      <c r="V159" s="216">
        <f t="shared" si="53"/>
        <v>1360</v>
      </c>
      <c r="W159" s="308">
        <v>2024</v>
      </c>
      <c r="X159" s="40">
        <f t="shared" si="46"/>
        <v>0</v>
      </c>
      <c r="Y159" s="40">
        <f t="shared" si="47"/>
        <v>0</v>
      </c>
      <c r="Z159" s="40">
        <f t="shared" si="48"/>
        <v>0</v>
      </c>
      <c r="AA159" s="37"/>
    </row>
    <row r="160" spans="1:27" s="50" customFormat="1" ht="12.75">
      <c r="A160" s="36" t="s">
        <v>272</v>
      </c>
      <c r="B160" s="12">
        <v>1</v>
      </c>
      <c r="C160" s="12">
        <v>1</v>
      </c>
      <c r="D160" s="12">
        <v>5</v>
      </c>
      <c r="E160" s="12">
        <v>0</v>
      </c>
      <c r="F160" s="12">
        <v>4</v>
      </c>
      <c r="G160" s="12">
        <v>3</v>
      </c>
      <c r="H160" s="42" t="s">
        <v>274</v>
      </c>
      <c r="I160" s="12" t="s">
        <v>273</v>
      </c>
      <c r="J160" s="19">
        <v>200</v>
      </c>
      <c r="K160" s="19">
        <v>145</v>
      </c>
      <c r="L160" s="19">
        <v>145</v>
      </c>
      <c r="M160" s="158">
        <v>145</v>
      </c>
      <c r="N160" s="214">
        <v>145</v>
      </c>
      <c r="O160" s="214">
        <v>145</v>
      </c>
      <c r="P160" s="214">
        <v>145</v>
      </c>
      <c r="Q160" s="214">
        <v>145</v>
      </c>
      <c r="R160" s="209">
        <v>145</v>
      </c>
      <c r="S160" s="209">
        <v>145</v>
      </c>
      <c r="T160" s="209">
        <v>145</v>
      </c>
      <c r="U160" s="209">
        <v>145</v>
      </c>
      <c r="V160" s="259">
        <f t="shared" si="53"/>
        <v>1360</v>
      </c>
      <c r="W160" s="303">
        <v>2024</v>
      </c>
      <c r="X160" s="40">
        <f t="shared" si="46"/>
        <v>0</v>
      </c>
      <c r="Y160" s="40">
        <f t="shared" si="47"/>
        <v>0</v>
      </c>
      <c r="Z160" s="40">
        <f t="shared" si="48"/>
        <v>0</v>
      </c>
      <c r="AA160" s="37"/>
    </row>
    <row r="161" spans="1:26" ht="63.75">
      <c r="A161" s="36" t="s">
        <v>272</v>
      </c>
      <c r="B161" s="12">
        <v>1</v>
      </c>
      <c r="C161" s="12">
        <v>1</v>
      </c>
      <c r="D161" s="12">
        <v>5</v>
      </c>
      <c r="E161" s="12">
        <v>0</v>
      </c>
      <c r="F161" s="12">
        <v>4</v>
      </c>
      <c r="G161" s="14"/>
      <c r="H161" s="58" t="s">
        <v>134</v>
      </c>
      <c r="I161" s="14" t="s">
        <v>312</v>
      </c>
      <c r="J161" s="1">
        <v>6</v>
      </c>
      <c r="K161" s="1">
        <v>7</v>
      </c>
      <c r="L161" s="1">
        <v>11</v>
      </c>
      <c r="M161" s="189">
        <v>4</v>
      </c>
      <c r="N161" s="215">
        <v>7</v>
      </c>
      <c r="O161" s="215">
        <v>7</v>
      </c>
      <c r="P161" s="215">
        <v>7</v>
      </c>
      <c r="Q161" s="215">
        <v>7</v>
      </c>
      <c r="R161" s="215">
        <v>7</v>
      </c>
      <c r="S161" s="215">
        <v>7</v>
      </c>
      <c r="T161" s="215">
        <v>7</v>
      </c>
      <c r="U161" s="215">
        <v>7</v>
      </c>
      <c r="V161" s="260">
        <f t="shared" si="53"/>
        <v>63</v>
      </c>
      <c r="W161" s="305">
        <v>2024</v>
      </c>
      <c r="X161" s="40">
        <f t="shared" si="46"/>
        <v>0</v>
      </c>
      <c r="Y161" s="40">
        <f t="shared" si="47"/>
        <v>0</v>
      </c>
      <c r="Z161" s="40">
        <f t="shared" si="48"/>
        <v>0</v>
      </c>
    </row>
    <row r="162" spans="1:26" ht="51">
      <c r="A162" s="36" t="s">
        <v>272</v>
      </c>
      <c r="B162" s="12">
        <v>1</v>
      </c>
      <c r="C162" s="12">
        <v>1</v>
      </c>
      <c r="D162" s="12">
        <v>5</v>
      </c>
      <c r="E162" s="12">
        <v>0</v>
      </c>
      <c r="F162" s="12">
        <v>4</v>
      </c>
      <c r="G162" s="14"/>
      <c r="H162" s="58" t="s">
        <v>244</v>
      </c>
      <c r="I162" s="14" t="s">
        <v>312</v>
      </c>
      <c r="J162" s="1">
        <v>4</v>
      </c>
      <c r="K162" s="1">
        <v>4</v>
      </c>
      <c r="L162" s="1">
        <v>9</v>
      </c>
      <c r="M162" s="189">
        <v>9</v>
      </c>
      <c r="N162" s="215">
        <v>2</v>
      </c>
      <c r="O162" s="215">
        <v>2</v>
      </c>
      <c r="P162" s="215">
        <v>2</v>
      </c>
      <c r="Q162" s="215">
        <v>2</v>
      </c>
      <c r="R162" s="215">
        <v>2</v>
      </c>
      <c r="S162" s="215">
        <v>2</v>
      </c>
      <c r="T162" s="215">
        <v>2</v>
      </c>
      <c r="U162" s="215">
        <v>2</v>
      </c>
      <c r="V162" s="260">
        <f t="shared" si="53"/>
        <v>36</v>
      </c>
      <c r="W162" s="305">
        <v>2024</v>
      </c>
      <c r="X162" s="40">
        <f t="shared" si="46"/>
        <v>0</v>
      </c>
      <c r="Y162" s="40">
        <f t="shared" si="47"/>
        <v>0</v>
      </c>
      <c r="Z162" s="40">
        <f t="shared" si="48"/>
        <v>0</v>
      </c>
    </row>
    <row r="163" spans="1:27" s="50" customFormat="1" ht="38.25">
      <c r="A163" s="65" t="s">
        <v>272</v>
      </c>
      <c r="B163" s="11">
        <v>1</v>
      </c>
      <c r="C163" s="11">
        <v>1</v>
      </c>
      <c r="D163" s="11">
        <v>6</v>
      </c>
      <c r="E163" s="11">
        <v>0</v>
      </c>
      <c r="F163" s="11">
        <v>0</v>
      </c>
      <c r="G163" s="11"/>
      <c r="H163" s="49" t="s">
        <v>326</v>
      </c>
      <c r="I163" s="11" t="s">
        <v>273</v>
      </c>
      <c r="J163" s="10">
        <f aca="true" t="shared" si="55" ref="J163:U163">J164</f>
        <v>4523</v>
      </c>
      <c r="K163" s="10">
        <f t="shared" si="55"/>
        <v>6768</v>
      </c>
      <c r="L163" s="10">
        <f t="shared" si="55"/>
        <v>6527.3</v>
      </c>
      <c r="M163" s="161">
        <f t="shared" si="55"/>
        <v>6852.1</v>
      </c>
      <c r="N163" s="218">
        <f t="shared" si="55"/>
        <v>9366.1</v>
      </c>
      <c r="O163" s="218">
        <f t="shared" si="55"/>
        <v>9366.1</v>
      </c>
      <c r="P163" s="218">
        <f t="shared" si="55"/>
        <v>9366.1</v>
      </c>
      <c r="Q163" s="218">
        <f t="shared" si="55"/>
        <v>9366.1</v>
      </c>
      <c r="R163" s="218">
        <f t="shared" si="55"/>
        <v>9366.1</v>
      </c>
      <c r="S163" s="218">
        <f t="shared" si="55"/>
        <v>9366.1</v>
      </c>
      <c r="T163" s="218">
        <f t="shared" si="55"/>
        <v>9366.1</v>
      </c>
      <c r="U163" s="218">
        <f t="shared" si="55"/>
        <v>9366.1</v>
      </c>
      <c r="V163" s="218">
        <f t="shared" si="53"/>
        <v>71500.9</v>
      </c>
      <c r="W163" s="306">
        <v>2024</v>
      </c>
      <c r="X163" s="40">
        <f t="shared" si="46"/>
        <v>0</v>
      </c>
      <c r="Y163" s="40">
        <f t="shared" si="47"/>
        <v>0</v>
      </c>
      <c r="Z163" s="40">
        <f t="shared" si="48"/>
        <v>0</v>
      </c>
      <c r="AA163" s="37"/>
    </row>
    <row r="164" spans="1:27" s="50" customFormat="1" ht="12.75">
      <c r="A164" s="36" t="s">
        <v>272</v>
      </c>
      <c r="B164" s="12">
        <v>1</v>
      </c>
      <c r="C164" s="12">
        <v>1</v>
      </c>
      <c r="D164" s="12">
        <v>6</v>
      </c>
      <c r="E164" s="12">
        <v>0</v>
      </c>
      <c r="F164" s="12">
        <v>0</v>
      </c>
      <c r="G164" s="12">
        <v>3</v>
      </c>
      <c r="H164" s="42" t="s">
        <v>274</v>
      </c>
      <c r="I164" s="12" t="s">
        <v>273</v>
      </c>
      <c r="J164" s="19">
        <f aca="true" t="shared" si="56" ref="J164:U164">J172+J181+J185</f>
        <v>4523</v>
      </c>
      <c r="K164" s="19">
        <f t="shared" si="56"/>
        <v>6768</v>
      </c>
      <c r="L164" s="19">
        <f t="shared" si="56"/>
        <v>6527.3</v>
      </c>
      <c r="M164" s="158">
        <f t="shared" si="56"/>
        <v>6852.1</v>
      </c>
      <c r="N164" s="209">
        <f t="shared" si="56"/>
        <v>9366.1</v>
      </c>
      <c r="O164" s="209">
        <f t="shared" si="56"/>
        <v>9366.1</v>
      </c>
      <c r="P164" s="209">
        <f t="shared" si="56"/>
        <v>9366.1</v>
      </c>
      <c r="Q164" s="209">
        <f t="shared" si="56"/>
        <v>9366.1</v>
      </c>
      <c r="R164" s="209">
        <f t="shared" si="56"/>
        <v>9366.1</v>
      </c>
      <c r="S164" s="209">
        <f t="shared" si="56"/>
        <v>9366.1</v>
      </c>
      <c r="T164" s="209">
        <f t="shared" si="56"/>
        <v>9366.1</v>
      </c>
      <c r="U164" s="209">
        <f t="shared" si="56"/>
        <v>9366.1</v>
      </c>
      <c r="V164" s="259">
        <f t="shared" si="53"/>
        <v>71500.9</v>
      </c>
      <c r="W164" s="303">
        <v>2024</v>
      </c>
      <c r="X164" s="40">
        <f t="shared" si="46"/>
        <v>0</v>
      </c>
      <c r="Y164" s="40">
        <f t="shared" si="47"/>
        <v>0</v>
      </c>
      <c r="Z164" s="40">
        <f t="shared" si="48"/>
        <v>0</v>
      </c>
      <c r="AA164" s="37"/>
    </row>
    <row r="165" spans="1:26" ht="25.5">
      <c r="A165" s="36" t="s">
        <v>272</v>
      </c>
      <c r="B165" s="12">
        <v>1</v>
      </c>
      <c r="C165" s="12">
        <v>1</v>
      </c>
      <c r="D165" s="12">
        <v>6</v>
      </c>
      <c r="E165" s="12">
        <v>0</v>
      </c>
      <c r="F165" s="12">
        <v>0</v>
      </c>
      <c r="G165" s="14"/>
      <c r="H165" s="63" t="s">
        <v>327</v>
      </c>
      <c r="I165" s="14" t="s">
        <v>328</v>
      </c>
      <c r="J165" s="1">
        <v>9</v>
      </c>
      <c r="K165" s="1">
        <v>9</v>
      </c>
      <c r="L165" s="1">
        <v>9</v>
      </c>
      <c r="M165" s="189">
        <v>9</v>
      </c>
      <c r="N165" s="215">
        <v>9</v>
      </c>
      <c r="O165" s="215">
        <v>9</v>
      </c>
      <c r="P165" s="215">
        <v>9</v>
      </c>
      <c r="Q165" s="215">
        <v>9</v>
      </c>
      <c r="R165" s="215">
        <v>9</v>
      </c>
      <c r="S165" s="215">
        <v>9</v>
      </c>
      <c r="T165" s="215">
        <v>9</v>
      </c>
      <c r="U165" s="215">
        <v>9</v>
      </c>
      <c r="V165" s="260">
        <v>9</v>
      </c>
      <c r="W165" s="305">
        <v>2024</v>
      </c>
      <c r="X165" s="40">
        <f t="shared" si="46"/>
        <v>0</v>
      </c>
      <c r="Y165" s="40">
        <f t="shared" si="47"/>
        <v>0</v>
      </c>
      <c r="Z165" s="40">
        <f t="shared" si="48"/>
        <v>0</v>
      </c>
    </row>
    <row r="166" spans="1:26" ht="76.5">
      <c r="A166" s="36" t="s">
        <v>272</v>
      </c>
      <c r="B166" s="12">
        <v>1</v>
      </c>
      <c r="C166" s="12">
        <v>1</v>
      </c>
      <c r="D166" s="12">
        <v>6</v>
      </c>
      <c r="E166" s="12">
        <v>0</v>
      </c>
      <c r="F166" s="12">
        <v>0</v>
      </c>
      <c r="G166" s="14"/>
      <c r="H166" s="63" t="s">
        <v>135</v>
      </c>
      <c r="I166" s="14" t="s">
        <v>278</v>
      </c>
      <c r="J166" s="6">
        <f>J164/J9*100</f>
        <v>0.4</v>
      </c>
      <c r="K166" s="6">
        <f>K164/K9*100</f>
        <v>0.6</v>
      </c>
      <c r="L166" s="6">
        <f>L164/L9*100</f>
        <v>0.5</v>
      </c>
      <c r="M166" s="192">
        <v>0.4</v>
      </c>
      <c r="N166" s="243">
        <v>0.6</v>
      </c>
      <c r="O166" s="243">
        <v>0.6</v>
      </c>
      <c r="P166" s="243">
        <v>0.6</v>
      </c>
      <c r="Q166" s="243">
        <v>0.6</v>
      </c>
      <c r="R166" s="236">
        <v>0.6</v>
      </c>
      <c r="S166" s="242">
        <v>0.6</v>
      </c>
      <c r="T166" s="242">
        <v>0.6</v>
      </c>
      <c r="U166" s="242">
        <v>0.6</v>
      </c>
      <c r="V166" s="239">
        <v>0.6</v>
      </c>
      <c r="W166" s="305">
        <v>2024</v>
      </c>
      <c r="X166" s="40">
        <f t="shared" si="46"/>
        <v>0</v>
      </c>
      <c r="Y166" s="40">
        <f t="shared" si="47"/>
        <v>0</v>
      </c>
      <c r="Z166" s="40">
        <f t="shared" si="48"/>
        <v>0</v>
      </c>
    </row>
    <row r="167" spans="1:27" s="70" customFormat="1" ht="114.75">
      <c r="A167" s="36" t="s">
        <v>272</v>
      </c>
      <c r="B167" s="12">
        <v>1</v>
      </c>
      <c r="C167" s="12">
        <v>1</v>
      </c>
      <c r="D167" s="12">
        <v>6</v>
      </c>
      <c r="E167" s="12">
        <v>0</v>
      </c>
      <c r="F167" s="12">
        <v>0</v>
      </c>
      <c r="G167" s="14"/>
      <c r="H167" s="58" t="s">
        <v>136</v>
      </c>
      <c r="I167" s="14" t="s">
        <v>278</v>
      </c>
      <c r="J167" s="56">
        <v>0</v>
      </c>
      <c r="K167" s="56">
        <v>0</v>
      </c>
      <c r="L167" s="25">
        <v>50</v>
      </c>
      <c r="M167" s="156">
        <v>60</v>
      </c>
      <c r="N167" s="210">
        <v>70</v>
      </c>
      <c r="O167" s="210">
        <v>70</v>
      </c>
      <c r="P167" s="210">
        <v>70</v>
      </c>
      <c r="Q167" s="210">
        <v>70</v>
      </c>
      <c r="R167" s="210">
        <v>70</v>
      </c>
      <c r="S167" s="210">
        <v>70</v>
      </c>
      <c r="T167" s="210">
        <v>70</v>
      </c>
      <c r="U167" s="210">
        <v>70</v>
      </c>
      <c r="V167" s="222">
        <v>70</v>
      </c>
      <c r="W167" s="305">
        <v>2024</v>
      </c>
      <c r="X167" s="40">
        <f t="shared" si="46"/>
        <v>0</v>
      </c>
      <c r="Y167" s="40">
        <f t="shared" si="47"/>
        <v>0</v>
      </c>
      <c r="Z167" s="40">
        <f t="shared" si="48"/>
        <v>0</v>
      </c>
      <c r="AA167" s="69"/>
    </row>
    <row r="168" spans="1:26" ht="63.75">
      <c r="A168" s="51" t="s">
        <v>272</v>
      </c>
      <c r="B168" s="17">
        <v>1</v>
      </c>
      <c r="C168" s="17">
        <v>1</v>
      </c>
      <c r="D168" s="17">
        <v>6</v>
      </c>
      <c r="E168" s="17">
        <v>0</v>
      </c>
      <c r="F168" s="17">
        <v>1</v>
      </c>
      <c r="G168" s="20"/>
      <c r="H168" s="52" t="s">
        <v>162</v>
      </c>
      <c r="I168" s="20" t="s">
        <v>297</v>
      </c>
      <c r="J168" s="23" t="s">
        <v>298</v>
      </c>
      <c r="K168" s="23" t="s">
        <v>298</v>
      </c>
      <c r="L168" s="23" t="s">
        <v>298</v>
      </c>
      <c r="M168" s="145" t="s">
        <v>298</v>
      </c>
      <c r="N168" s="219" t="s">
        <v>298</v>
      </c>
      <c r="O168" s="219" t="s">
        <v>298</v>
      </c>
      <c r="P168" s="219" t="s">
        <v>298</v>
      </c>
      <c r="Q168" s="219" t="s">
        <v>298</v>
      </c>
      <c r="R168" s="219" t="s">
        <v>298</v>
      </c>
      <c r="S168" s="219" t="s">
        <v>298</v>
      </c>
      <c r="T168" s="219" t="s">
        <v>298</v>
      </c>
      <c r="U168" s="219" t="s">
        <v>298</v>
      </c>
      <c r="V168" s="219" t="s">
        <v>298</v>
      </c>
      <c r="W168" s="307">
        <v>2024</v>
      </c>
      <c r="X168" s="40"/>
      <c r="Y168" s="40"/>
      <c r="Z168" s="40"/>
    </row>
    <row r="169" spans="1:26" ht="38.25">
      <c r="A169" s="36" t="s">
        <v>272</v>
      </c>
      <c r="B169" s="12">
        <v>1</v>
      </c>
      <c r="C169" s="12">
        <v>1</v>
      </c>
      <c r="D169" s="12">
        <v>6</v>
      </c>
      <c r="E169" s="12">
        <v>0</v>
      </c>
      <c r="F169" s="12">
        <v>1</v>
      </c>
      <c r="G169" s="14"/>
      <c r="H169" s="63" t="s">
        <v>37</v>
      </c>
      <c r="I169" s="14" t="s">
        <v>312</v>
      </c>
      <c r="J169" s="1">
        <v>29</v>
      </c>
      <c r="K169" s="1">
        <v>28</v>
      </c>
      <c r="L169" s="1">
        <v>28</v>
      </c>
      <c r="M169" s="189">
        <v>28</v>
      </c>
      <c r="N169" s="215">
        <v>28</v>
      </c>
      <c r="O169" s="215">
        <v>28</v>
      </c>
      <c r="P169" s="215">
        <v>28</v>
      </c>
      <c r="Q169" s="215">
        <v>28</v>
      </c>
      <c r="R169" s="215">
        <v>28</v>
      </c>
      <c r="S169" s="215">
        <v>28</v>
      </c>
      <c r="T169" s="215">
        <v>28</v>
      </c>
      <c r="U169" s="215">
        <v>28</v>
      </c>
      <c r="V169" s="260">
        <v>28</v>
      </c>
      <c r="W169" s="305">
        <v>2024</v>
      </c>
      <c r="X169" s="40">
        <f t="shared" si="46"/>
        <v>0</v>
      </c>
      <c r="Y169" s="40">
        <f t="shared" si="47"/>
        <v>0</v>
      </c>
      <c r="Z169" s="40">
        <f t="shared" si="48"/>
        <v>0</v>
      </c>
    </row>
    <row r="170" spans="1:26" ht="51">
      <c r="A170" s="36" t="s">
        <v>272</v>
      </c>
      <c r="B170" s="12">
        <v>1</v>
      </c>
      <c r="C170" s="12">
        <v>1</v>
      </c>
      <c r="D170" s="12">
        <v>6</v>
      </c>
      <c r="E170" s="12">
        <v>0</v>
      </c>
      <c r="F170" s="12">
        <v>1</v>
      </c>
      <c r="G170" s="14"/>
      <c r="H170" s="63" t="s">
        <v>329</v>
      </c>
      <c r="I170" s="14" t="s">
        <v>312</v>
      </c>
      <c r="J170" s="1">
        <v>1</v>
      </c>
      <c r="K170" s="1">
        <v>1</v>
      </c>
      <c r="L170" s="1">
        <v>2</v>
      </c>
      <c r="M170" s="189">
        <v>2</v>
      </c>
      <c r="N170" s="215">
        <v>2</v>
      </c>
      <c r="O170" s="215">
        <v>2</v>
      </c>
      <c r="P170" s="215">
        <v>2</v>
      </c>
      <c r="Q170" s="215">
        <v>2</v>
      </c>
      <c r="R170" s="215">
        <v>2</v>
      </c>
      <c r="S170" s="215">
        <v>2</v>
      </c>
      <c r="T170" s="215">
        <v>2</v>
      </c>
      <c r="U170" s="215">
        <v>2</v>
      </c>
      <c r="V170" s="260">
        <f>SUM(J170:U170)</f>
        <v>22</v>
      </c>
      <c r="W170" s="305">
        <v>2024</v>
      </c>
      <c r="X170" s="40">
        <f t="shared" si="46"/>
        <v>0</v>
      </c>
      <c r="Y170" s="40">
        <f t="shared" si="47"/>
        <v>0</v>
      </c>
      <c r="Z170" s="40">
        <f t="shared" si="48"/>
        <v>0</v>
      </c>
    </row>
    <row r="171" spans="1:27" s="50" customFormat="1" ht="63.75">
      <c r="A171" s="51" t="s">
        <v>272</v>
      </c>
      <c r="B171" s="17">
        <v>1</v>
      </c>
      <c r="C171" s="17">
        <v>1</v>
      </c>
      <c r="D171" s="17">
        <v>6</v>
      </c>
      <c r="E171" s="17">
        <v>0</v>
      </c>
      <c r="F171" s="17">
        <v>2</v>
      </c>
      <c r="G171" s="17"/>
      <c r="H171" s="53" t="s">
        <v>101</v>
      </c>
      <c r="I171" s="17" t="s">
        <v>273</v>
      </c>
      <c r="J171" s="7">
        <f aca="true" t="shared" si="57" ref="J171:U171">J172</f>
        <v>2296.3</v>
      </c>
      <c r="K171" s="7">
        <f t="shared" si="57"/>
        <v>4455.4</v>
      </c>
      <c r="L171" s="7">
        <f t="shared" si="57"/>
        <v>4464.7</v>
      </c>
      <c r="M171" s="148">
        <f t="shared" si="57"/>
        <v>4656.2</v>
      </c>
      <c r="N171" s="213">
        <f t="shared" si="57"/>
        <v>4651.8</v>
      </c>
      <c r="O171" s="213">
        <f t="shared" si="57"/>
        <v>4651.8</v>
      </c>
      <c r="P171" s="213">
        <f t="shared" si="57"/>
        <v>4651.8</v>
      </c>
      <c r="Q171" s="213">
        <f t="shared" si="57"/>
        <v>4651.8</v>
      </c>
      <c r="R171" s="213">
        <f t="shared" si="57"/>
        <v>4651.8</v>
      </c>
      <c r="S171" s="213">
        <f t="shared" si="57"/>
        <v>4651.8</v>
      </c>
      <c r="T171" s="213">
        <f t="shared" si="57"/>
        <v>4651.8</v>
      </c>
      <c r="U171" s="213">
        <f t="shared" si="57"/>
        <v>4651.8</v>
      </c>
      <c r="V171" s="216">
        <f>J171+K171+L171+M171+O171+Q171+S171+T171+U171</f>
        <v>39131.6</v>
      </c>
      <c r="W171" s="308">
        <v>2024</v>
      </c>
      <c r="X171" s="40">
        <f t="shared" si="46"/>
        <v>0</v>
      </c>
      <c r="Y171" s="40">
        <f t="shared" si="47"/>
        <v>0</v>
      </c>
      <c r="Z171" s="40">
        <f t="shared" si="48"/>
        <v>0</v>
      </c>
      <c r="AA171" s="37"/>
    </row>
    <row r="172" spans="1:27" s="50" customFormat="1" ht="12.75">
      <c r="A172" s="36" t="s">
        <v>272</v>
      </c>
      <c r="B172" s="12">
        <v>1</v>
      </c>
      <c r="C172" s="12">
        <v>1</v>
      </c>
      <c r="D172" s="12">
        <v>6</v>
      </c>
      <c r="E172" s="12">
        <v>0</v>
      </c>
      <c r="F172" s="12">
        <v>2</v>
      </c>
      <c r="G172" s="12">
        <v>3</v>
      </c>
      <c r="H172" s="42" t="s">
        <v>274</v>
      </c>
      <c r="I172" s="12" t="s">
        <v>273</v>
      </c>
      <c r="J172" s="19">
        <f>1855+668-226.7</f>
        <v>2296.3</v>
      </c>
      <c r="K172" s="19">
        <v>4455.4</v>
      </c>
      <c r="L172" s="19">
        <v>4464.7</v>
      </c>
      <c r="M172" s="158">
        <v>4656.2</v>
      </c>
      <c r="N172" s="214">
        <v>4651.8</v>
      </c>
      <c r="O172" s="214">
        <v>4651.8</v>
      </c>
      <c r="P172" s="214">
        <v>4651.8</v>
      </c>
      <c r="Q172" s="214">
        <v>4651.8</v>
      </c>
      <c r="R172" s="209">
        <v>4651.8</v>
      </c>
      <c r="S172" s="209">
        <v>4651.8</v>
      </c>
      <c r="T172" s="209">
        <v>4651.8</v>
      </c>
      <c r="U172" s="209">
        <v>4651.8</v>
      </c>
      <c r="V172" s="259">
        <f>J172+K172+L172+M172+O172+Q172+S172+T172+U172</f>
        <v>39131.6</v>
      </c>
      <c r="W172" s="303">
        <v>2024</v>
      </c>
      <c r="X172" s="40">
        <f t="shared" si="46"/>
        <v>0</v>
      </c>
      <c r="Y172" s="40">
        <f t="shared" si="47"/>
        <v>0</v>
      </c>
      <c r="Z172" s="40">
        <f t="shared" si="48"/>
        <v>0</v>
      </c>
      <c r="AA172" s="37"/>
    </row>
    <row r="173" spans="1:26" ht="63.75">
      <c r="A173" s="36" t="s">
        <v>272</v>
      </c>
      <c r="B173" s="12">
        <v>1</v>
      </c>
      <c r="C173" s="12">
        <v>1</v>
      </c>
      <c r="D173" s="12">
        <v>6</v>
      </c>
      <c r="E173" s="12">
        <v>0</v>
      </c>
      <c r="F173" s="12">
        <v>2</v>
      </c>
      <c r="G173" s="14"/>
      <c r="H173" s="58" t="s">
        <v>330</v>
      </c>
      <c r="I173" s="14" t="s">
        <v>301</v>
      </c>
      <c r="J173" s="1">
        <v>2700</v>
      </c>
      <c r="K173" s="1">
        <f>2750+5</f>
        <v>2755</v>
      </c>
      <c r="L173" s="1">
        <v>4310</v>
      </c>
      <c r="M173" s="152">
        <v>4314</v>
      </c>
      <c r="N173" s="224">
        <v>4320</v>
      </c>
      <c r="O173" s="224">
        <v>4320</v>
      </c>
      <c r="P173" s="224">
        <v>4325</v>
      </c>
      <c r="Q173" s="224">
        <v>4325</v>
      </c>
      <c r="R173" s="224">
        <v>4330</v>
      </c>
      <c r="S173" s="224">
        <v>4330</v>
      </c>
      <c r="T173" s="224">
        <v>4330</v>
      </c>
      <c r="U173" s="224">
        <v>4330</v>
      </c>
      <c r="V173" s="224">
        <f>J173+K173+L173+M173+O173+Q173+S173+T173+U173</f>
        <v>35714</v>
      </c>
      <c r="W173" s="305">
        <v>2024</v>
      </c>
      <c r="X173" s="40">
        <f t="shared" si="46"/>
        <v>0</v>
      </c>
      <c r="Y173" s="40">
        <f t="shared" si="47"/>
        <v>0</v>
      </c>
      <c r="Z173" s="40">
        <f t="shared" si="48"/>
        <v>0</v>
      </c>
    </row>
    <row r="174" spans="1:26" ht="25.5">
      <c r="A174" s="36" t="s">
        <v>272</v>
      </c>
      <c r="B174" s="12">
        <v>1</v>
      </c>
      <c r="C174" s="12">
        <v>1</v>
      </c>
      <c r="D174" s="12">
        <v>6</v>
      </c>
      <c r="E174" s="12">
        <v>0</v>
      </c>
      <c r="F174" s="12">
        <v>2</v>
      </c>
      <c r="G174" s="14"/>
      <c r="H174" s="58" t="s">
        <v>331</v>
      </c>
      <c r="I174" s="14" t="s">
        <v>312</v>
      </c>
      <c r="J174" s="1">
        <v>2</v>
      </c>
      <c r="K174" s="1">
        <v>2</v>
      </c>
      <c r="L174" s="1">
        <v>2</v>
      </c>
      <c r="M174" s="152">
        <v>2</v>
      </c>
      <c r="N174" s="224">
        <v>2</v>
      </c>
      <c r="O174" s="224">
        <v>2</v>
      </c>
      <c r="P174" s="224">
        <v>2</v>
      </c>
      <c r="Q174" s="224">
        <v>2</v>
      </c>
      <c r="R174" s="224">
        <v>2</v>
      </c>
      <c r="S174" s="224">
        <v>2</v>
      </c>
      <c r="T174" s="224">
        <v>2</v>
      </c>
      <c r="U174" s="224">
        <v>2</v>
      </c>
      <c r="V174" s="224">
        <f aca="true" t="shared" si="58" ref="V174:V179">J174+K174+L174+M174+O174+Q174+S174+T174+U174</f>
        <v>18</v>
      </c>
      <c r="W174" s="305">
        <v>2024</v>
      </c>
      <c r="X174" s="40">
        <f t="shared" si="46"/>
        <v>0</v>
      </c>
      <c r="Y174" s="40">
        <f t="shared" si="47"/>
        <v>0</v>
      </c>
      <c r="Z174" s="40">
        <f t="shared" si="48"/>
        <v>0</v>
      </c>
    </row>
    <row r="175" spans="1:26" ht="51">
      <c r="A175" s="36" t="s">
        <v>272</v>
      </c>
      <c r="B175" s="12">
        <v>1</v>
      </c>
      <c r="C175" s="12">
        <v>1</v>
      </c>
      <c r="D175" s="12">
        <v>6</v>
      </c>
      <c r="E175" s="12">
        <v>0</v>
      </c>
      <c r="F175" s="12">
        <v>2</v>
      </c>
      <c r="G175" s="14"/>
      <c r="H175" s="58" t="s">
        <v>332</v>
      </c>
      <c r="I175" s="14" t="s">
        <v>301</v>
      </c>
      <c r="J175" s="1">
        <v>120</v>
      </c>
      <c r="K175" s="1">
        <v>130</v>
      </c>
      <c r="L175" s="1">
        <v>100</v>
      </c>
      <c r="M175" s="152">
        <v>70</v>
      </c>
      <c r="N175" s="224">
        <v>100</v>
      </c>
      <c r="O175" s="224">
        <v>100</v>
      </c>
      <c r="P175" s="224">
        <v>100</v>
      </c>
      <c r="Q175" s="224">
        <v>100</v>
      </c>
      <c r="R175" s="224">
        <v>100</v>
      </c>
      <c r="S175" s="224">
        <v>100</v>
      </c>
      <c r="T175" s="224">
        <v>100</v>
      </c>
      <c r="U175" s="224">
        <v>100</v>
      </c>
      <c r="V175" s="224">
        <f t="shared" si="58"/>
        <v>920</v>
      </c>
      <c r="W175" s="305">
        <v>2024</v>
      </c>
      <c r="X175" s="40">
        <f t="shared" si="46"/>
        <v>0</v>
      </c>
      <c r="Y175" s="40">
        <f t="shared" si="47"/>
        <v>0</v>
      </c>
      <c r="Z175" s="40">
        <f t="shared" si="48"/>
        <v>0</v>
      </c>
    </row>
    <row r="176" spans="1:26" ht="38.25">
      <c r="A176" s="36" t="s">
        <v>272</v>
      </c>
      <c r="B176" s="12">
        <v>1</v>
      </c>
      <c r="C176" s="12">
        <v>1</v>
      </c>
      <c r="D176" s="12">
        <v>6</v>
      </c>
      <c r="E176" s="12">
        <v>0</v>
      </c>
      <c r="F176" s="12">
        <v>2</v>
      </c>
      <c r="G176" s="14"/>
      <c r="H176" s="58" t="s">
        <v>333</v>
      </c>
      <c r="I176" s="14" t="s">
        <v>301</v>
      </c>
      <c r="J176" s="1">
        <v>1055</v>
      </c>
      <c r="K176" s="1">
        <v>1060</v>
      </c>
      <c r="L176" s="1">
        <v>1060</v>
      </c>
      <c r="M176" s="152">
        <v>1881</v>
      </c>
      <c r="N176" s="224">
        <v>1885</v>
      </c>
      <c r="O176" s="224">
        <v>1885</v>
      </c>
      <c r="P176" s="224">
        <v>1890</v>
      </c>
      <c r="Q176" s="224">
        <v>1890</v>
      </c>
      <c r="R176" s="224">
        <v>1895</v>
      </c>
      <c r="S176" s="224">
        <v>1895</v>
      </c>
      <c r="T176" s="224">
        <v>1895</v>
      </c>
      <c r="U176" s="224">
        <v>1895</v>
      </c>
      <c r="V176" s="224">
        <f t="shared" si="58"/>
        <v>14516</v>
      </c>
      <c r="W176" s="305">
        <v>2024</v>
      </c>
      <c r="X176" s="40">
        <f t="shared" si="46"/>
        <v>0</v>
      </c>
      <c r="Y176" s="40">
        <f t="shared" si="47"/>
        <v>0</v>
      </c>
      <c r="Z176" s="40">
        <f t="shared" si="48"/>
        <v>0</v>
      </c>
    </row>
    <row r="177" spans="1:26" ht="89.25">
      <c r="A177" s="36" t="s">
        <v>272</v>
      </c>
      <c r="B177" s="12">
        <v>1</v>
      </c>
      <c r="C177" s="12">
        <v>1</v>
      </c>
      <c r="D177" s="12">
        <v>6</v>
      </c>
      <c r="E177" s="12">
        <v>0</v>
      </c>
      <c r="F177" s="12">
        <v>2</v>
      </c>
      <c r="G177" s="12"/>
      <c r="H177" s="124" t="s">
        <v>246</v>
      </c>
      <c r="I177" s="14" t="s">
        <v>312</v>
      </c>
      <c r="J177" s="56">
        <v>81</v>
      </c>
      <c r="K177" s="56">
        <v>180</v>
      </c>
      <c r="L177" s="56">
        <v>180</v>
      </c>
      <c r="M177" s="178">
        <v>437</v>
      </c>
      <c r="N177" s="244">
        <v>437</v>
      </c>
      <c r="O177" s="244">
        <v>437</v>
      </c>
      <c r="P177" s="244">
        <v>437</v>
      </c>
      <c r="Q177" s="244">
        <v>437</v>
      </c>
      <c r="R177" s="244">
        <v>437</v>
      </c>
      <c r="S177" s="244">
        <v>437</v>
      </c>
      <c r="T177" s="244">
        <v>437</v>
      </c>
      <c r="U177" s="244">
        <v>437</v>
      </c>
      <c r="V177" s="224">
        <f t="shared" si="58"/>
        <v>3063</v>
      </c>
      <c r="W177" s="305">
        <v>2024</v>
      </c>
      <c r="X177" s="40">
        <f t="shared" si="46"/>
        <v>0</v>
      </c>
      <c r="Y177" s="40">
        <f t="shared" si="47"/>
        <v>0</v>
      </c>
      <c r="Z177" s="40">
        <f t="shared" si="48"/>
        <v>0</v>
      </c>
    </row>
    <row r="178" spans="1:26" ht="51">
      <c r="A178" s="36" t="s">
        <v>272</v>
      </c>
      <c r="B178" s="12">
        <v>1</v>
      </c>
      <c r="C178" s="12">
        <v>1</v>
      </c>
      <c r="D178" s="12">
        <v>6</v>
      </c>
      <c r="E178" s="12">
        <v>0</v>
      </c>
      <c r="F178" s="12">
        <v>2</v>
      </c>
      <c r="G178" s="12"/>
      <c r="H178" s="58" t="s">
        <v>70</v>
      </c>
      <c r="I178" s="14" t="s">
        <v>312</v>
      </c>
      <c r="J178" s="56">
        <v>125</v>
      </c>
      <c r="K178" s="56">
        <v>125</v>
      </c>
      <c r="L178" s="56">
        <v>125</v>
      </c>
      <c r="M178" s="191">
        <v>125</v>
      </c>
      <c r="N178" s="212">
        <v>125</v>
      </c>
      <c r="O178" s="212">
        <v>125</v>
      </c>
      <c r="P178" s="212">
        <v>125</v>
      </c>
      <c r="Q178" s="212">
        <v>125</v>
      </c>
      <c r="R178" s="212">
        <v>125</v>
      </c>
      <c r="S178" s="212">
        <v>125</v>
      </c>
      <c r="T178" s="212">
        <v>125</v>
      </c>
      <c r="U178" s="212">
        <v>125</v>
      </c>
      <c r="V178" s="224">
        <f t="shared" si="58"/>
        <v>1125</v>
      </c>
      <c r="W178" s="305">
        <v>2024</v>
      </c>
      <c r="X178" s="40">
        <f t="shared" si="46"/>
        <v>0</v>
      </c>
      <c r="Y178" s="40">
        <f t="shared" si="47"/>
        <v>0</v>
      </c>
      <c r="Z178" s="40">
        <f t="shared" si="48"/>
        <v>0</v>
      </c>
    </row>
    <row r="179" spans="1:26" ht="38.25">
      <c r="A179" s="36" t="s">
        <v>272</v>
      </c>
      <c r="B179" s="12">
        <v>1</v>
      </c>
      <c r="C179" s="12">
        <v>1</v>
      </c>
      <c r="D179" s="12">
        <v>6</v>
      </c>
      <c r="E179" s="12">
        <v>0</v>
      </c>
      <c r="F179" s="12">
        <v>2</v>
      </c>
      <c r="G179" s="12"/>
      <c r="H179" s="124" t="s">
        <v>247</v>
      </c>
      <c r="I179" s="14" t="s">
        <v>312</v>
      </c>
      <c r="J179" s="56">
        <v>342</v>
      </c>
      <c r="K179" s="56">
        <v>720</v>
      </c>
      <c r="L179" s="56">
        <v>720</v>
      </c>
      <c r="M179" s="191">
        <v>720</v>
      </c>
      <c r="N179" s="212">
        <v>720</v>
      </c>
      <c r="O179" s="212">
        <v>720</v>
      </c>
      <c r="P179" s="212">
        <v>720</v>
      </c>
      <c r="Q179" s="212">
        <v>720</v>
      </c>
      <c r="R179" s="212">
        <v>720</v>
      </c>
      <c r="S179" s="212">
        <v>720</v>
      </c>
      <c r="T179" s="212">
        <v>720</v>
      </c>
      <c r="U179" s="212">
        <v>720</v>
      </c>
      <c r="V179" s="224">
        <f t="shared" si="58"/>
        <v>6102</v>
      </c>
      <c r="W179" s="305">
        <v>2024</v>
      </c>
      <c r="X179" s="40">
        <f t="shared" si="46"/>
        <v>0</v>
      </c>
      <c r="Y179" s="40">
        <f t="shared" si="47"/>
        <v>0</v>
      </c>
      <c r="Z179" s="40">
        <f t="shared" si="48"/>
        <v>0</v>
      </c>
    </row>
    <row r="180" spans="1:27" s="50" customFormat="1" ht="63.75">
      <c r="A180" s="51" t="s">
        <v>272</v>
      </c>
      <c r="B180" s="17">
        <v>1</v>
      </c>
      <c r="C180" s="17">
        <v>1</v>
      </c>
      <c r="D180" s="17">
        <v>6</v>
      </c>
      <c r="E180" s="17">
        <v>0</v>
      </c>
      <c r="F180" s="17">
        <v>3</v>
      </c>
      <c r="G180" s="17"/>
      <c r="H180" s="53" t="s">
        <v>102</v>
      </c>
      <c r="I180" s="17" t="s">
        <v>273</v>
      </c>
      <c r="J180" s="7">
        <f aca="true" t="shared" si="59" ref="J180:U180">J181</f>
        <v>1242</v>
      </c>
      <c r="K180" s="7">
        <f t="shared" si="59"/>
        <v>1300</v>
      </c>
      <c r="L180" s="7">
        <f t="shared" si="59"/>
        <v>1046.8</v>
      </c>
      <c r="M180" s="144">
        <f t="shared" si="59"/>
        <v>1375.9</v>
      </c>
      <c r="N180" s="213">
        <f t="shared" si="59"/>
        <v>1189.9</v>
      </c>
      <c r="O180" s="213">
        <f t="shared" si="59"/>
        <v>1189.9</v>
      </c>
      <c r="P180" s="213">
        <f t="shared" si="59"/>
        <v>1189.9</v>
      </c>
      <c r="Q180" s="213">
        <f t="shared" si="59"/>
        <v>1189.9</v>
      </c>
      <c r="R180" s="213">
        <f t="shared" si="59"/>
        <v>1189.9</v>
      </c>
      <c r="S180" s="213">
        <f t="shared" si="59"/>
        <v>1189.9</v>
      </c>
      <c r="T180" s="213">
        <f t="shared" si="59"/>
        <v>1189.9</v>
      </c>
      <c r="U180" s="213">
        <f t="shared" si="59"/>
        <v>1189.9</v>
      </c>
      <c r="V180" s="216">
        <f aca="true" t="shared" si="60" ref="V180:V185">J180+K180+L180+M180+O180+Q180+S180+T180+U180</f>
        <v>10914.2</v>
      </c>
      <c r="W180" s="308">
        <v>2024</v>
      </c>
      <c r="X180" s="40">
        <f t="shared" si="46"/>
        <v>0</v>
      </c>
      <c r="Y180" s="40">
        <f t="shared" si="47"/>
        <v>0</v>
      </c>
      <c r="Z180" s="40">
        <f t="shared" si="48"/>
        <v>0</v>
      </c>
      <c r="AA180" s="37"/>
    </row>
    <row r="181" spans="1:27" s="50" customFormat="1" ht="12.75">
      <c r="A181" s="36" t="s">
        <v>272</v>
      </c>
      <c r="B181" s="12">
        <v>1</v>
      </c>
      <c r="C181" s="12">
        <v>1</v>
      </c>
      <c r="D181" s="12">
        <v>6</v>
      </c>
      <c r="E181" s="12">
        <v>0</v>
      </c>
      <c r="F181" s="12">
        <v>3</v>
      </c>
      <c r="G181" s="12">
        <v>3</v>
      </c>
      <c r="H181" s="42" t="s">
        <v>274</v>
      </c>
      <c r="I181" s="12" t="s">
        <v>273</v>
      </c>
      <c r="J181" s="19">
        <f>1144+98</f>
        <v>1242</v>
      </c>
      <c r="K181" s="19">
        <v>1300</v>
      </c>
      <c r="L181" s="19">
        <v>1046.8</v>
      </c>
      <c r="M181" s="158">
        <v>1375.9</v>
      </c>
      <c r="N181" s="214">
        <v>1189.9</v>
      </c>
      <c r="O181" s="214">
        <v>1189.9</v>
      </c>
      <c r="P181" s="214">
        <v>1189.9</v>
      </c>
      <c r="Q181" s="214">
        <v>1189.9</v>
      </c>
      <c r="R181" s="209">
        <v>1189.9</v>
      </c>
      <c r="S181" s="209">
        <v>1189.9</v>
      </c>
      <c r="T181" s="209">
        <v>1189.9</v>
      </c>
      <c r="U181" s="209">
        <v>1189.9</v>
      </c>
      <c r="V181" s="259">
        <f t="shared" si="60"/>
        <v>10914.2</v>
      </c>
      <c r="W181" s="303">
        <v>2024</v>
      </c>
      <c r="X181" s="40">
        <f t="shared" si="46"/>
        <v>0</v>
      </c>
      <c r="Y181" s="40">
        <f t="shared" si="47"/>
        <v>0</v>
      </c>
      <c r="Z181" s="40">
        <f t="shared" si="48"/>
        <v>0</v>
      </c>
      <c r="AA181" s="37"/>
    </row>
    <row r="182" spans="1:26" ht="63.75">
      <c r="A182" s="36" t="s">
        <v>272</v>
      </c>
      <c r="B182" s="12">
        <v>1</v>
      </c>
      <c r="C182" s="12">
        <v>1</v>
      </c>
      <c r="D182" s="12">
        <v>6</v>
      </c>
      <c r="E182" s="12">
        <v>0</v>
      </c>
      <c r="F182" s="12">
        <v>3</v>
      </c>
      <c r="G182" s="14"/>
      <c r="H182" s="58" t="s">
        <v>169</v>
      </c>
      <c r="I182" s="14" t="s">
        <v>312</v>
      </c>
      <c r="J182" s="1">
        <v>51</v>
      </c>
      <c r="K182" s="1">
        <v>51</v>
      </c>
      <c r="L182" s="1">
        <v>41</v>
      </c>
      <c r="M182" s="189">
        <v>46</v>
      </c>
      <c r="N182" s="215">
        <v>46</v>
      </c>
      <c r="O182" s="215">
        <v>46</v>
      </c>
      <c r="P182" s="215">
        <v>55</v>
      </c>
      <c r="Q182" s="215">
        <v>55</v>
      </c>
      <c r="R182" s="215">
        <v>55</v>
      </c>
      <c r="S182" s="215">
        <v>55</v>
      </c>
      <c r="T182" s="215">
        <v>55</v>
      </c>
      <c r="U182" s="215">
        <v>55</v>
      </c>
      <c r="V182" s="260">
        <f t="shared" si="60"/>
        <v>455</v>
      </c>
      <c r="W182" s="305">
        <v>2024</v>
      </c>
      <c r="X182" s="40">
        <f t="shared" si="46"/>
        <v>0</v>
      </c>
      <c r="Y182" s="40">
        <f t="shared" si="47"/>
        <v>0</v>
      </c>
      <c r="Z182" s="40">
        <f t="shared" si="48"/>
        <v>0</v>
      </c>
    </row>
    <row r="183" spans="1:26" ht="63.75">
      <c r="A183" s="36" t="s">
        <v>272</v>
      </c>
      <c r="B183" s="12">
        <v>1</v>
      </c>
      <c r="C183" s="12">
        <v>1</v>
      </c>
      <c r="D183" s="12">
        <v>6</v>
      </c>
      <c r="E183" s="12">
        <v>0</v>
      </c>
      <c r="F183" s="12">
        <v>3</v>
      </c>
      <c r="G183" s="14"/>
      <c r="H183" s="58" t="s">
        <v>168</v>
      </c>
      <c r="I183" s="14" t="s">
        <v>312</v>
      </c>
      <c r="J183" s="1">
        <v>82</v>
      </c>
      <c r="K183" s="1">
        <v>82</v>
      </c>
      <c r="L183" s="1">
        <v>83</v>
      </c>
      <c r="M183" s="189">
        <v>88</v>
      </c>
      <c r="N183" s="215">
        <v>83</v>
      </c>
      <c r="O183" s="215">
        <v>83</v>
      </c>
      <c r="P183" s="215">
        <v>96</v>
      </c>
      <c r="Q183" s="215">
        <v>96</v>
      </c>
      <c r="R183" s="215">
        <v>96</v>
      </c>
      <c r="S183" s="215">
        <v>96</v>
      </c>
      <c r="T183" s="215">
        <v>96</v>
      </c>
      <c r="U183" s="215">
        <v>96</v>
      </c>
      <c r="V183" s="260">
        <f t="shared" si="60"/>
        <v>802</v>
      </c>
      <c r="W183" s="305">
        <v>2024</v>
      </c>
      <c r="X183" s="40">
        <f t="shared" si="46"/>
        <v>0</v>
      </c>
      <c r="Y183" s="40">
        <f t="shared" si="47"/>
        <v>0</v>
      </c>
      <c r="Z183" s="40">
        <f t="shared" si="48"/>
        <v>0</v>
      </c>
    </row>
    <row r="184" spans="1:27" s="50" customFormat="1" ht="89.25">
      <c r="A184" s="51" t="s">
        <v>272</v>
      </c>
      <c r="B184" s="17">
        <v>1</v>
      </c>
      <c r="C184" s="17">
        <v>1</v>
      </c>
      <c r="D184" s="17">
        <v>6</v>
      </c>
      <c r="E184" s="17">
        <v>0</v>
      </c>
      <c r="F184" s="17">
        <v>4</v>
      </c>
      <c r="G184" s="17">
        <v>3</v>
      </c>
      <c r="H184" s="53" t="s">
        <v>103</v>
      </c>
      <c r="I184" s="17" t="s">
        <v>273</v>
      </c>
      <c r="J184" s="7">
        <f aca="true" t="shared" si="61" ref="J184:U184">J185</f>
        <v>984.7</v>
      </c>
      <c r="K184" s="7">
        <f t="shared" si="61"/>
        <v>1012.6</v>
      </c>
      <c r="L184" s="7">
        <f t="shared" si="61"/>
        <v>1015.8</v>
      </c>
      <c r="M184" s="144">
        <f t="shared" si="61"/>
        <v>820</v>
      </c>
      <c r="N184" s="213">
        <f t="shared" si="61"/>
        <v>3524.4</v>
      </c>
      <c r="O184" s="213">
        <f t="shared" si="61"/>
        <v>3524.4</v>
      </c>
      <c r="P184" s="213">
        <f t="shared" si="61"/>
        <v>3524.4</v>
      </c>
      <c r="Q184" s="213">
        <f t="shared" si="61"/>
        <v>3524.4</v>
      </c>
      <c r="R184" s="213">
        <f t="shared" si="61"/>
        <v>3524.4</v>
      </c>
      <c r="S184" s="213">
        <f t="shared" si="61"/>
        <v>3524.4</v>
      </c>
      <c r="T184" s="213">
        <f t="shared" si="61"/>
        <v>3524.4</v>
      </c>
      <c r="U184" s="213">
        <f t="shared" si="61"/>
        <v>3524.4</v>
      </c>
      <c r="V184" s="216">
        <f t="shared" si="60"/>
        <v>21455.1</v>
      </c>
      <c r="W184" s="308">
        <v>2024</v>
      </c>
      <c r="X184" s="40">
        <f t="shared" si="46"/>
        <v>0</v>
      </c>
      <c r="Y184" s="40">
        <f t="shared" si="47"/>
        <v>0</v>
      </c>
      <c r="Z184" s="40">
        <f t="shared" si="48"/>
        <v>0</v>
      </c>
      <c r="AA184" s="37"/>
    </row>
    <row r="185" spans="1:27" s="50" customFormat="1" ht="12.75">
      <c r="A185" s="36" t="s">
        <v>272</v>
      </c>
      <c r="B185" s="12">
        <v>1</v>
      </c>
      <c r="C185" s="12">
        <v>1</v>
      </c>
      <c r="D185" s="12">
        <v>6</v>
      </c>
      <c r="E185" s="12">
        <v>0</v>
      </c>
      <c r="F185" s="12">
        <v>4</v>
      </c>
      <c r="G185" s="12">
        <v>3</v>
      </c>
      <c r="H185" s="42" t="s">
        <v>274</v>
      </c>
      <c r="I185" s="12" t="s">
        <v>273</v>
      </c>
      <c r="J185" s="19">
        <f>856+128.7</f>
        <v>984.7</v>
      </c>
      <c r="K185" s="19">
        <v>1012.6</v>
      </c>
      <c r="L185" s="19">
        <f>1015.9-0.1</f>
        <v>1015.8</v>
      </c>
      <c r="M185" s="158">
        <v>820</v>
      </c>
      <c r="N185" s="214">
        <v>3524.4</v>
      </c>
      <c r="O185" s="214">
        <v>3524.4</v>
      </c>
      <c r="P185" s="214">
        <v>3524.4</v>
      </c>
      <c r="Q185" s="214">
        <v>3524.4</v>
      </c>
      <c r="R185" s="209">
        <v>3524.4</v>
      </c>
      <c r="S185" s="209">
        <v>3524.4</v>
      </c>
      <c r="T185" s="209">
        <v>3524.4</v>
      </c>
      <c r="U185" s="209">
        <v>3524.4</v>
      </c>
      <c r="V185" s="259">
        <f t="shared" si="60"/>
        <v>21455.1</v>
      </c>
      <c r="W185" s="303">
        <v>2024</v>
      </c>
      <c r="X185" s="40">
        <f t="shared" si="46"/>
        <v>0</v>
      </c>
      <c r="Y185" s="40">
        <f t="shared" si="47"/>
        <v>0</v>
      </c>
      <c r="Z185" s="40">
        <f t="shared" si="48"/>
        <v>0</v>
      </c>
      <c r="AA185" s="37"/>
    </row>
    <row r="186" spans="1:26" ht="51">
      <c r="A186" s="36" t="s">
        <v>272</v>
      </c>
      <c r="B186" s="12">
        <v>1</v>
      </c>
      <c r="C186" s="12">
        <v>1</v>
      </c>
      <c r="D186" s="12">
        <v>6</v>
      </c>
      <c r="E186" s="12">
        <v>0</v>
      </c>
      <c r="F186" s="12">
        <v>4</v>
      </c>
      <c r="G186" s="12"/>
      <c r="H186" s="58" t="s">
        <v>172</v>
      </c>
      <c r="I186" s="14" t="s">
        <v>312</v>
      </c>
      <c r="J186" s="1">
        <v>2</v>
      </c>
      <c r="K186" s="1">
        <f>2+1</f>
        <v>3</v>
      </c>
      <c r="L186" s="1">
        <v>2</v>
      </c>
      <c r="M186" s="189">
        <v>2</v>
      </c>
      <c r="N186" s="215">
        <v>2</v>
      </c>
      <c r="O186" s="215">
        <v>2</v>
      </c>
      <c r="P186" s="215">
        <v>2</v>
      </c>
      <c r="Q186" s="215">
        <v>2</v>
      </c>
      <c r="R186" s="215">
        <v>2</v>
      </c>
      <c r="S186" s="215">
        <v>2</v>
      </c>
      <c r="T186" s="215">
        <v>2</v>
      </c>
      <c r="U186" s="215">
        <v>2</v>
      </c>
      <c r="V186" s="260">
        <v>3</v>
      </c>
      <c r="W186" s="305">
        <v>2024</v>
      </c>
      <c r="X186" s="40">
        <f t="shared" si="46"/>
        <v>0</v>
      </c>
      <c r="Y186" s="40">
        <f t="shared" si="47"/>
        <v>0</v>
      </c>
      <c r="Z186" s="40">
        <f t="shared" si="48"/>
        <v>0</v>
      </c>
    </row>
    <row r="187" spans="1:26" ht="51">
      <c r="A187" s="36" t="s">
        <v>272</v>
      </c>
      <c r="B187" s="12">
        <v>1</v>
      </c>
      <c r="C187" s="12">
        <v>1</v>
      </c>
      <c r="D187" s="12">
        <v>6</v>
      </c>
      <c r="E187" s="12">
        <v>0</v>
      </c>
      <c r="F187" s="12">
        <v>4</v>
      </c>
      <c r="G187" s="12"/>
      <c r="H187" s="58" t="s">
        <v>173</v>
      </c>
      <c r="I187" s="14" t="s">
        <v>312</v>
      </c>
      <c r="J187" s="1">
        <v>3</v>
      </c>
      <c r="K187" s="1">
        <v>3</v>
      </c>
      <c r="L187" s="1">
        <v>2</v>
      </c>
      <c r="M187" s="189">
        <v>2</v>
      </c>
      <c r="N187" s="215">
        <v>2</v>
      </c>
      <c r="O187" s="215">
        <v>2</v>
      </c>
      <c r="P187" s="215">
        <v>2</v>
      </c>
      <c r="Q187" s="215">
        <v>2</v>
      </c>
      <c r="R187" s="215">
        <v>2</v>
      </c>
      <c r="S187" s="215">
        <v>2</v>
      </c>
      <c r="T187" s="215">
        <v>2</v>
      </c>
      <c r="U187" s="215">
        <v>2</v>
      </c>
      <c r="V187" s="260">
        <v>3</v>
      </c>
      <c r="W187" s="305">
        <v>2024</v>
      </c>
      <c r="X187" s="40">
        <f t="shared" si="46"/>
        <v>0</v>
      </c>
      <c r="Y187" s="40">
        <f t="shared" si="47"/>
        <v>0</v>
      </c>
      <c r="Z187" s="40">
        <f t="shared" si="48"/>
        <v>0</v>
      </c>
    </row>
    <row r="188" spans="1:27" s="50" customFormat="1" ht="25.5">
      <c r="A188" s="65" t="s">
        <v>272</v>
      </c>
      <c r="B188" s="11">
        <v>1</v>
      </c>
      <c r="C188" s="11">
        <v>1</v>
      </c>
      <c r="D188" s="11">
        <v>7</v>
      </c>
      <c r="E188" s="11">
        <v>0</v>
      </c>
      <c r="F188" s="11">
        <v>0</v>
      </c>
      <c r="G188" s="11"/>
      <c r="H188" s="49" t="s">
        <v>334</v>
      </c>
      <c r="I188" s="11" t="s">
        <v>273</v>
      </c>
      <c r="J188" s="10">
        <f>J190+J189</f>
        <v>690.3</v>
      </c>
      <c r="K188" s="10">
        <f>K190+K189</f>
        <v>921.3</v>
      </c>
      <c r="L188" s="10">
        <f>L190+L189</f>
        <v>699.3</v>
      </c>
      <c r="M188" s="161">
        <f aca="true" t="shared" si="62" ref="M188:U188">M189+M190</f>
        <v>729.6</v>
      </c>
      <c r="N188" s="218">
        <f t="shared" si="62"/>
        <v>760.5</v>
      </c>
      <c r="O188" s="218">
        <f t="shared" si="62"/>
        <v>760.4</v>
      </c>
      <c r="P188" s="218">
        <f t="shared" si="62"/>
        <v>760.6</v>
      </c>
      <c r="Q188" s="218">
        <f t="shared" si="62"/>
        <v>760.5</v>
      </c>
      <c r="R188" s="218">
        <f t="shared" si="62"/>
        <v>760.5</v>
      </c>
      <c r="S188" s="218">
        <f t="shared" si="62"/>
        <v>760.4</v>
      </c>
      <c r="T188" s="218">
        <f t="shared" si="62"/>
        <v>760.5</v>
      </c>
      <c r="U188" s="218">
        <f t="shared" si="62"/>
        <v>760.5</v>
      </c>
      <c r="V188" s="218">
        <f>J188+K188+L188+M188+O188+Q188+S188+T188+U188</f>
        <v>6842.8</v>
      </c>
      <c r="W188" s="306">
        <v>2024</v>
      </c>
      <c r="X188" s="40">
        <f t="shared" si="46"/>
        <v>-0.1</v>
      </c>
      <c r="Y188" s="40">
        <f t="shared" si="47"/>
        <v>-0.1</v>
      </c>
      <c r="Z188" s="40">
        <f t="shared" si="48"/>
        <v>-0.1</v>
      </c>
      <c r="AA188" s="37"/>
    </row>
    <row r="189" spans="1:27" s="50" customFormat="1" ht="12.75">
      <c r="A189" s="36" t="s">
        <v>272</v>
      </c>
      <c r="B189" s="12">
        <v>1</v>
      </c>
      <c r="C189" s="12">
        <v>1</v>
      </c>
      <c r="D189" s="12">
        <v>7</v>
      </c>
      <c r="E189" s="12">
        <v>0</v>
      </c>
      <c r="F189" s="12">
        <v>0</v>
      </c>
      <c r="G189" s="12">
        <v>3</v>
      </c>
      <c r="H189" s="42" t="s">
        <v>274</v>
      </c>
      <c r="I189" s="12" t="s">
        <v>273</v>
      </c>
      <c r="J189" s="19">
        <f aca="true" t="shared" si="63" ref="J189:L190">J198</f>
        <v>690.3</v>
      </c>
      <c r="K189" s="19">
        <f t="shared" si="63"/>
        <v>595.5</v>
      </c>
      <c r="L189" s="19">
        <f t="shared" si="63"/>
        <v>699.3</v>
      </c>
      <c r="M189" s="158">
        <f aca="true" t="shared" si="64" ref="M189:U189">M198</f>
        <v>729.6</v>
      </c>
      <c r="N189" s="209">
        <f t="shared" si="64"/>
        <v>760.5</v>
      </c>
      <c r="O189" s="209">
        <f t="shared" si="64"/>
        <v>760.4</v>
      </c>
      <c r="P189" s="209">
        <f t="shared" si="64"/>
        <v>760.6</v>
      </c>
      <c r="Q189" s="209">
        <f t="shared" si="64"/>
        <v>760.5</v>
      </c>
      <c r="R189" s="209">
        <f t="shared" si="64"/>
        <v>760.5</v>
      </c>
      <c r="S189" s="209">
        <f t="shared" si="64"/>
        <v>760.4</v>
      </c>
      <c r="T189" s="209">
        <f t="shared" si="64"/>
        <v>760.5</v>
      </c>
      <c r="U189" s="209">
        <f t="shared" si="64"/>
        <v>760.5</v>
      </c>
      <c r="V189" s="259">
        <f>J189+K189+L189+M189+O189+Q189+S189+T189+U189</f>
        <v>6517</v>
      </c>
      <c r="W189" s="303">
        <v>2024</v>
      </c>
      <c r="X189" s="40">
        <f t="shared" si="46"/>
        <v>-0.1</v>
      </c>
      <c r="Y189" s="40">
        <f t="shared" si="47"/>
        <v>-0.1</v>
      </c>
      <c r="Z189" s="40">
        <f t="shared" si="48"/>
        <v>-0.1</v>
      </c>
      <c r="AA189" s="37"/>
    </row>
    <row r="190" spans="1:27" s="50" customFormat="1" ht="12.75">
      <c r="A190" s="36" t="s">
        <v>272</v>
      </c>
      <c r="B190" s="12">
        <v>1</v>
      </c>
      <c r="C190" s="12">
        <v>1</v>
      </c>
      <c r="D190" s="12">
        <v>7</v>
      </c>
      <c r="E190" s="12">
        <v>0</v>
      </c>
      <c r="F190" s="12">
        <v>0</v>
      </c>
      <c r="G190" s="12">
        <v>2</v>
      </c>
      <c r="H190" s="42" t="s">
        <v>275</v>
      </c>
      <c r="I190" s="12" t="s">
        <v>273</v>
      </c>
      <c r="J190" s="19">
        <f t="shared" si="63"/>
        <v>0</v>
      </c>
      <c r="K190" s="19">
        <f t="shared" si="63"/>
        <v>325.8</v>
      </c>
      <c r="L190" s="19">
        <f t="shared" si="63"/>
        <v>0</v>
      </c>
      <c r="M190" s="158">
        <v>0</v>
      </c>
      <c r="N190" s="214">
        <v>0</v>
      </c>
      <c r="O190" s="214">
        <v>0</v>
      </c>
      <c r="P190" s="214">
        <v>0</v>
      </c>
      <c r="Q190" s="214">
        <v>0</v>
      </c>
      <c r="R190" s="209">
        <f>R199</f>
        <v>0</v>
      </c>
      <c r="S190" s="209">
        <f>S199</f>
        <v>0</v>
      </c>
      <c r="T190" s="209">
        <f>T199</f>
        <v>0</v>
      </c>
      <c r="U190" s="209">
        <f>U199</f>
        <v>0</v>
      </c>
      <c r="V190" s="259">
        <f>J190+K190+L190+M190+O190+Q190+S190+T190+U190</f>
        <v>325.8</v>
      </c>
      <c r="W190" s="303">
        <v>2017</v>
      </c>
      <c r="X190" s="40">
        <f t="shared" si="46"/>
        <v>0</v>
      </c>
      <c r="Y190" s="40">
        <f t="shared" si="47"/>
        <v>0</v>
      </c>
      <c r="Z190" s="40">
        <f t="shared" si="48"/>
        <v>0</v>
      </c>
      <c r="AA190" s="37"/>
    </row>
    <row r="191" spans="1:26" ht="38.25">
      <c r="A191" s="36" t="s">
        <v>272</v>
      </c>
      <c r="B191" s="12">
        <v>1</v>
      </c>
      <c r="C191" s="12">
        <v>1</v>
      </c>
      <c r="D191" s="12">
        <v>7</v>
      </c>
      <c r="E191" s="12">
        <v>0</v>
      </c>
      <c r="F191" s="12">
        <v>0</v>
      </c>
      <c r="G191" s="14"/>
      <c r="H191" s="63" t="s">
        <v>335</v>
      </c>
      <c r="I191" s="14" t="s">
        <v>301</v>
      </c>
      <c r="J191" s="1">
        <v>1942</v>
      </c>
      <c r="K191" s="1">
        <v>2195</v>
      </c>
      <c r="L191" s="1">
        <v>2502</v>
      </c>
      <c r="M191" s="189">
        <v>2597</v>
      </c>
      <c r="N191" s="224">
        <v>2600</v>
      </c>
      <c r="O191" s="224">
        <v>2600</v>
      </c>
      <c r="P191" s="224">
        <v>2610</v>
      </c>
      <c r="Q191" s="224">
        <v>2610</v>
      </c>
      <c r="R191" s="224">
        <v>2615</v>
      </c>
      <c r="S191" s="224">
        <v>2615</v>
      </c>
      <c r="T191" s="224">
        <v>2615</v>
      </c>
      <c r="U191" s="224">
        <v>2615</v>
      </c>
      <c r="V191" s="260">
        <f>J191+K191+L191+M191+O191+Q191+S191+T191+U191</f>
        <v>22291</v>
      </c>
      <c r="W191" s="305">
        <v>2024</v>
      </c>
      <c r="X191" s="40">
        <f t="shared" si="46"/>
        <v>0</v>
      </c>
      <c r="Y191" s="40">
        <f t="shared" si="47"/>
        <v>0</v>
      </c>
      <c r="Z191" s="40">
        <f t="shared" si="48"/>
        <v>0</v>
      </c>
    </row>
    <row r="192" spans="1:26" ht="51">
      <c r="A192" s="36" t="s">
        <v>272</v>
      </c>
      <c r="B192" s="12">
        <v>1</v>
      </c>
      <c r="C192" s="12">
        <v>1</v>
      </c>
      <c r="D192" s="12">
        <v>7</v>
      </c>
      <c r="E192" s="12">
        <v>0</v>
      </c>
      <c r="F192" s="12">
        <v>0</v>
      </c>
      <c r="G192" s="14"/>
      <c r="H192" s="63" t="s">
        <v>36</v>
      </c>
      <c r="I192" s="14" t="s">
        <v>278</v>
      </c>
      <c r="J192" s="25">
        <v>100</v>
      </c>
      <c r="K192" s="25">
        <v>100</v>
      </c>
      <c r="L192" s="25">
        <v>100</v>
      </c>
      <c r="M192" s="156">
        <v>100</v>
      </c>
      <c r="N192" s="231">
        <v>100</v>
      </c>
      <c r="O192" s="231">
        <v>100</v>
      </c>
      <c r="P192" s="231">
        <v>100</v>
      </c>
      <c r="Q192" s="231">
        <v>100</v>
      </c>
      <c r="R192" s="231">
        <v>100</v>
      </c>
      <c r="S192" s="231">
        <v>100</v>
      </c>
      <c r="T192" s="231">
        <v>100</v>
      </c>
      <c r="U192" s="231">
        <v>100</v>
      </c>
      <c r="V192" s="222">
        <v>100</v>
      </c>
      <c r="W192" s="305">
        <v>2024</v>
      </c>
      <c r="X192" s="40">
        <f t="shared" si="46"/>
        <v>0</v>
      </c>
      <c r="Y192" s="40">
        <f t="shared" si="47"/>
        <v>0</v>
      </c>
      <c r="Z192" s="40">
        <f t="shared" si="48"/>
        <v>0</v>
      </c>
    </row>
    <row r="193" spans="1:26" ht="63.75">
      <c r="A193" s="36" t="s">
        <v>272</v>
      </c>
      <c r="B193" s="12">
        <v>1</v>
      </c>
      <c r="C193" s="12">
        <v>1</v>
      </c>
      <c r="D193" s="12">
        <v>7</v>
      </c>
      <c r="E193" s="12">
        <v>0</v>
      </c>
      <c r="F193" s="12">
        <v>0</v>
      </c>
      <c r="G193" s="14"/>
      <c r="H193" s="63" t="s">
        <v>286</v>
      </c>
      <c r="I193" s="14" t="s">
        <v>278</v>
      </c>
      <c r="J193" s="9">
        <v>0</v>
      </c>
      <c r="K193" s="9">
        <v>0</v>
      </c>
      <c r="L193" s="9">
        <v>0</v>
      </c>
      <c r="M193" s="141">
        <v>7.5</v>
      </c>
      <c r="N193" s="210">
        <v>7.7</v>
      </c>
      <c r="O193" s="210">
        <v>7.7</v>
      </c>
      <c r="P193" s="210">
        <v>8.1</v>
      </c>
      <c r="Q193" s="210">
        <v>8.1</v>
      </c>
      <c r="R193" s="210">
        <v>8.1</v>
      </c>
      <c r="S193" s="210">
        <v>8.1</v>
      </c>
      <c r="T193" s="210">
        <v>8.1</v>
      </c>
      <c r="U193" s="210">
        <v>8.2</v>
      </c>
      <c r="V193" s="221">
        <v>8.2</v>
      </c>
      <c r="W193" s="312">
        <v>2024</v>
      </c>
      <c r="X193" s="40">
        <f t="shared" si="46"/>
        <v>0</v>
      </c>
      <c r="Y193" s="40">
        <f t="shared" si="47"/>
        <v>0</v>
      </c>
      <c r="Z193" s="40">
        <f t="shared" si="48"/>
        <v>0</v>
      </c>
    </row>
    <row r="194" spans="1:26" ht="51">
      <c r="A194" s="51" t="s">
        <v>272</v>
      </c>
      <c r="B194" s="17">
        <v>1</v>
      </c>
      <c r="C194" s="17">
        <v>1</v>
      </c>
      <c r="D194" s="17">
        <v>7</v>
      </c>
      <c r="E194" s="17">
        <v>0</v>
      </c>
      <c r="F194" s="17">
        <v>1</v>
      </c>
      <c r="G194" s="20"/>
      <c r="H194" s="52" t="s">
        <v>236</v>
      </c>
      <c r="I194" s="20" t="s">
        <v>297</v>
      </c>
      <c r="J194" s="23" t="s">
        <v>298</v>
      </c>
      <c r="K194" s="23" t="s">
        <v>298</v>
      </c>
      <c r="L194" s="23" t="s">
        <v>298</v>
      </c>
      <c r="M194" s="143" t="s">
        <v>298</v>
      </c>
      <c r="N194" s="230" t="s">
        <v>298</v>
      </c>
      <c r="O194" s="230" t="s">
        <v>298</v>
      </c>
      <c r="P194" s="230" t="s">
        <v>298</v>
      </c>
      <c r="Q194" s="230" t="s">
        <v>298</v>
      </c>
      <c r="R194" s="230" t="s">
        <v>298</v>
      </c>
      <c r="S194" s="230" t="s">
        <v>298</v>
      </c>
      <c r="T194" s="230" t="s">
        <v>298</v>
      </c>
      <c r="U194" s="230" t="s">
        <v>298</v>
      </c>
      <c r="V194" s="230" t="s">
        <v>298</v>
      </c>
      <c r="W194" s="307">
        <v>2024</v>
      </c>
      <c r="X194" s="40"/>
      <c r="Y194" s="40"/>
      <c r="Z194" s="40"/>
    </row>
    <row r="195" spans="1:26" ht="38.25">
      <c r="A195" s="36" t="s">
        <v>272</v>
      </c>
      <c r="B195" s="12">
        <v>1</v>
      </c>
      <c r="C195" s="12">
        <v>1</v>
      </c>
      <c r="D195" s="12">
        <v>7</v>
      </c>
      <c r="E195" s="12">
        <v>0</v>
      </c>
      <c r="F195" s="12">
        <v>1</v>
      </c>
      <c r="G195" s="14"/>
      <c r="H195" s="58" t="s">
        <v>336</v>
      </c>
      <c r="I195" s="14" t="s">
        <v>312</v>
      </c>
      <c r="J195" s="1">
        <v>43</v>
      </c>
      <c r="K195" s="1">
        <v>44</v>
      </c>
      <c r="L195" s="1">
        <v>44</v>
      </c>
      <c r="M195" s="189">
        <v>44</v>
      </c>
      <c r="N195" s="215">
        <v>44</v>
      </c>
      <c r="O195" s="215">
        <v>44</v>
      </c>
      <c r="P195" s="215">
        <v>44</v>
      </c>
      <c r="Q195" s="215">
        <v>44</v>
      </c>
      <c r="R195" s="215">
        <v>44</v>
      </c>
      <c r="S195" s="215">
        <v>44</v>
      </c>
      <c r="T195" s="215">
        <v>44</v>
      </c>
      <c r="U195" s="215">
        <v>44</v>
      </c>
      <c r="V195" s="260">
        <f>J195+K195+L195+M195+O195+Q195+S195+T195+U195</f>
        <v>395</v>
      </c>
      <c r="W195" s="305">
        <v>2024</v>
      </c>
      <c r="X195" s="40">
        <f t="shared" si="46"/>
        <v>0</v>
      </c>
      <c r="Y195" s="40">
        <f t="shared" si="47"/>
        <v>0</v>
      </c>
      <c r="Z195" s="40">
        <f t="shared" si="48"/>
        <v>0</v>
      </c>
    </row>
    <row r="196" spans="1:26" ht="63.75">
      <c r="A196" s="36" t="s">
        <v>272</v>
      </c>
      <c r="B196" s="12">
        <v>1</v>
      </c>
      <c r="C196" s="12">
        <v>1</v>
      </c>
      <c r="D196" s="12">
        <v>7</v>
      </c>
      <c r="E196" s="12">
        <v>0</v>
      </c>
      <c r="F196" s="12">
        <v>1</v>
      </c>
      <c r="G196" s="14"/>
      <c r="H196" s="58" t="s">
        <v>35</v>
      </c>
      <c r="I196" s="14" t="s">
        <v>312</v>
      </c>
      <c r="J196" s="1">
        <v>29</v>
      </c>
      <c r="K196" s="1">
        <v>28</v>
      </c>
      <c r="L196" s="1">
        <v>28</v>
      </c>
      <c r="M196" s="189">
        <v>28</v>
      </c>
      <c r="N196" s="215">
        <v>28</v>
      </c>
      <c r="O196" s="215">
        <v>28</v>
      </c>
      <c r="P196" s="215">
        <v>28</v>
      </c>
      <c r="Q196" s="215">
        <v>28</v>
      </c>
      <c r="R196" s="215">
        <v>28</v>
      </c>
      <c r="S196" s="215">
        <v>28</v>
      </c>
      <c r="T196" s="215">
        <v>28</v>
      </c>
      <c r="U196" s="215">
        <v>28</v>
      </c>
      <c r="V196" s="260">
        <v>28</v>
      </c>
      <c r="W196" s="305">
        <v>2024</v>
      </c>
      <c r="X196" s="40">
        <f t="shared" si="46"/>
        <v>0</v>
      </c>
      <c r="Y196" s="40">
        <f t="shared" si="47"/>
        <v>0</v>
      </c>
      <c r="Z196" s="40">
        <f t="shared" si="48"/>
        <v>0</v>
      </c>
    </row>
    <row r="197" spans="1:27" s="50" customFormat="1" ht="76.5">
      <c r="A197" s="51" t="s">
        <v>272</v>
      </c>
      <c r="B197" s="17">
        <v>1</v>
      </c>
      <c r="C197" s="17">
        <v>1</v>
      </c>
      <c r="D197" s="17">
        <v>7</v>
      </c>
      <c r="E197" s="17">
        <v>0</v>
      </c>
      <c r="F197" s="17">
        <v>2</v>
      </c>
      <c r="G197" s="17"/>
      <c r="H197" s="53" t="s">
        <v>104</v>
      </c>
      <c r="I197" s="17" t="s">
        <v>273</v>
      </c>
      <c r="J197" s="7">
        <f>J198+J199</f>
        <v>690.3</v>
      </c>
      <c r="K197" s="7">
        <f>K198+K199</f>
        <v>921.3</v>
      </c>
      <c r="L197" s="7">
        <f>L198+L199</f>
        <v>699.3</v>
      </c>
      <c r="M197" s="144">
        <f aca="true" t="shared" si="65" ref="M197:U197">M198+M199</f>
        <v>729.6</v>
      </c>
      <c r="N197" s="216">
        <f t="shared" si="65"/>
        <v>760.5</v>
      </c>
      <c r="O197" s="216">
        <f t="shared" si="65"/>
        <v>760.4</v>
      </c>
      <c r="P197" s="216">
        <f t="shared" si="65"/>
        <v>760.6</v>
      </c>
      <c r="Q197" s="216">
        <f t="shared" si="65"/>
        <v>760.5</v>
      </c>
      <c r="R197" s="216">
        <f t="shared" si="65"/>
        <v>760.5</v>
      </c>
      <c r="S197" s="216">
        <f t="shared" si="65"/>
        <v>760.4</v>
      </c>
      <c r="T197" s="216">
        <f t="shared" si="65"/>
        <v>760.5</v>
      </c>
      <c r="U197" s="216">
        <f t="shared" si="65"/>
        <v>760.5</v>
      </c>
      <c r="V197" s="216">
        <f>J197+K197+L197+M197+O197+Q197+S197+T197+U197</f>
        <v>6842.8</v>
      </c>
      <c r="W197" s="308">
        <v>2024</v>
      </c>
      <c r="X197" s="40">
        <f t="shared" si="46"/>
        <v>-0.1</v>
      </c>
      <c r="Y197" s="40">
        <f t="shared" si="47"/>
        <v>-0.1</v>
      </c>
      <c r="Z197" s="40">
        <f t="shared" si="48"/>
        <v>-0.1</v>
      </c>
      <c r="AA197" s="37"/>
    </row>
    <row r="198" spans="1:27" s="50" customFormat="1" ht="12.75">
      <c r="A198" s="36" t="s">
        <v>272</v>
      </c>
      <c r="B198" s="12">
        <v>1</v>
      </c>
      <c r="C198" s="12">
        <v>1</v>
      </c>
      <c r="D198" s="12">
        <v>7</v>
      </c>
      <c r="E198" s="12">
        <v>0</v>
      </c>
      <c r="F198" s="12">
        <v>2</v>
      </c>
      <c r="G198" s="12">
        <v>3</v>
      </c>
      <c r="H198" s="42" t="s">
        <v>274</v>
      </c>
      <c r="I198" s="12" t="s">
        <v>273</v>
      </c>
      <c r="J198" s="19">
        <f>670+20.3</f>
        <v>690.3</v>
      </c>
      <c r="K198" s="19">
        <v>595.5</v>
      </c>
      <c r="L198" s="19">
        <v>699.3</v>
      </c>
      <c r="M198" s="158">
        <v>729.6</v>
      </c>
      <c r="N198" s="214">
        <v>760.5</v>
      </c>
      <c r="O198" s="214">
        <v>760.4</v>
      </c>
      <c r="P198" s="214">
        <v>760.6</v>
      </c>
      <c r="Q198" s="214">
        <v>760.5</v>
      </c>
      <c r="R198" s="214">
        <v>760.5</v>
      </c>
      <c r="S198" s="214">
        <v>760.4</v>
      </c>
      <c r="T198" s="214">
        <v>760.5</v>
      </c>
      <c r="U198" s="214">
        <v>760.5</v>
      </c>
      <c r="V198" s="259">
        <f>J198+K198+L198+M198+O198+Q198+S198+T198+U198</f>
        <v>6517</v>
      </c>
      <c r="W198" s="303">
        <v>2024</v>
      </c>
      <c r="X198" s="40">
        <f t="shared" si="46"/>
        <v>-0.1</v>
      </c>
      <c r="Y198" s="40">
        <f t="shared" si="47"/>
        <v>-0.1</v>
      </c>
      <c r="Z198" s="40">
        <f t="shared" si="48"/>
        <v>-0.1</v>
      </c>
      <c r="AA198" s="37"/>
    </row>
    <row r="199" spans="1:27" s="50" customFormat="1" ht="12.75">
      <c r="A199" s="36" t="s">
        <v>272</v>
      </c>
      <c r="B199" s="12">
        <v>1</v>
      </c>
      <c r="C199" s="12">
        <v>1</v>
      </c>
      <c r="D199" s="12">
        <v>7</v>
      </c>
      <c r="E199" s="12">
        <v>0</v>
      </c>
      <c r="F199" s="12">
        <v>2</v>
      </c>
      <c r="G199" s="12">
        <v>2</v>
      </c>
      <c r="H199" s="42" t="s">
        <v>275</v>
      </c>
      <c r="I199" s="12" t="s">
        <v>273</v>
      </c>
      <c r="J199" s="19">
        <v>0</v>
      </c>
      <c r="K199" s="19">
        <v>325.8</v>
      </c>
      <c r="L199" s="19">
        <v>0</v>
      </c>
      <c r="M199" s="158">
        <v>0</v>
      </c>
      <c r="N199" s="214">
        <v>0</v>
      </c>
      <c r="O199" s="214">
        <v>0</v>
      </c>
      <c r="P199" s="214">
        <v>0</v>
      </c>
      <c r="Q199" s="214">
        <v>0</v>
      </c>
      <c r="R199" s="209"/>
      <c r="S199" s="209"/>
      <c r="T199" s="209"/>
      <c r="U199" s="209"/>
      <c r="V199" s="259">
        <f>J199+K199+L199+M199+O199+Q199+S199+T199+U199</f>
        <v>325.8</v>
      </c>
      <c r="W199" s="303">
        <v>2017</v>
      </c>
      <c r="X199" s="40">
        <f t="shared" si="46"/>
        <v>0</v>
      </c>
      <c r="Y199" s="40">
        <f t="shared" si="47"/>
        <v>0</v>
      </c>
      <c r="Z199" s="40">
        <f t="shared" si="48"/>
        <v>0</v>
      </c>
      <c r="AA199" s="37"/>
    </row>
    <row r="200" spans="1:26" ht="38.25">
      <c r="A200" s="36" t="s">
        <v>272</v>
      </c>
      <c r="B200" s="12">
        <v>1</v>
      </c>
      <c r="C200" s="12">
        <v>1</v>
      </c>
      <c r="D200" s="12">
        <v>7</v>
      </c>
      <c r="E200" s="12">
        <v>0</v>
      </c>
      <c r="F200" s="12">
        <v>2</v>
      </c>
      <c r="G200" s="14"/>
      <c r="H200" s="63" t="s">
        <v>34</v>
      </c>
      <c r="I200" s="14" t="s">
        <v>312</v>
      </c>
      <c r="J200" s="1">
        <v>40</v>
      </c>
      <c r="K200" s="1">
        <v>39</v>
      </c>
      <c r="L200" s="1">
        <v>34</v>
      </c>
      <c r="M200" s="189">
        <v>34</v>
      </c>
      <c r="N200" s="215">
        <v>34</v>
      </c>
      <c r="O200" s="215">
        <v>34</v>
      </c>
      <c r="P200" s="215">
        <v>34</v>
      </c>
      <c r="Q200" s="215">
        <v>34</v>
      </c>
      <c r="R200" s="267">
        <v>34</v>
      </c>
      <c r="S200" s="267">
        <v>34</v>
      </c>
      <c r="T200" s="267">
        <v>34</v>
      </c>
      <c r="U200" s="267">
        <v>34</v>
      </c>
      <c r="V200" s="260">
        <f>SUM(J200:U200)/9</f>
        <v>47</v>
      </c>
      <c r="W200" s="305">
        <v>2024</v>
      </c>
      <c r="X200" s="40">
        <f t="shared" si="46"/>
        <v>0</v>
      </c>
      <c r="Y200" s="40">
        <f t="shared" si="47"/>
        <v>0</v>
      </c>
      <c r="Z200" s="40">
        <f t="shared" si="48"/>
        <v>0</v>
      </c>
    </row>
    <row r="201" spans="1:26" ht="51">
      <c r="A201" s="36" t="s">
        <v>272</v>
      </c>
      <c r="B201" s="12">
        <v>1</v>
      </c>
      <c r="C201" s="12">
        <v>1</v>
      </c>
      <c r="D201" s="12">
        <v>7</v>
      </c>
      <c r="E201" s="12">
        <v>0</v>
      </c>
      <c r="F201" s="12">
        <v>2</v>
      </c>
      <c r="G201" s="14"/>
      <c r="H201" s="63" t="s">
        <v>337</v>
      </c>
      <c r="I201" s="14" t="s">
        <v>301</v>
      </c>
      <c r="J201" s="1">
        <v>190</v>
      </c>
      <c r="K201" s="1">
        <v>195</v>
      </c>
      <c r="L201" s="1">
        <v>252</v>
      </c>
      <c r="M201" s="152">
        <v>209</v>
      </c>
      <c r="N201" s="224">
        <v>215</v>
      </c>
      <c r="O201" s="224">
        <v>215</v>
      </c>
      <c r="P201" s="224">
        <v>215</v>
      </c>
      <c r="Q201" s="224">
        <v>215</v>
      </c>
      <c r="R201" s="224">
        <v>215</v>
      </c>
      <c r="S201" s="224">
        <v>215</v>
      </c>
      <c r="T201" s="224">
        <v>215</v>
      </c>
      <c r="U201" s="224">
        <v>215</v>
      </c>
      <c r="V201" s="224">
        <f>SUM(J201:U201)</f>
        <v>2566</v>
      </c>
      <c r="W201" s="305">
        <v>2024</v>
      </c>
      <c r="X201" s="40">
        <f aca="true" t="shared" si="66" ref="X201:X264">O201-N201</f>
        <v>0</v>
      </c>
      <c r="Y201" s="40">
        <f aca="true" t="shared" si="67" ref="Y201:Y264">Q201-P201</f>
        <v>0</v>
      </c>
      <c r="Z201" s="40">
        <f aca="true" t="shared" si="68" ref="Z201:Z264">S201-R201</f>
        <v>0</v>
      </c>
    </row>
    <row r="202" spans="1:26" ht="25.5">
      <c r="A202" s="36" t="s">
        <v>272</v>
      </c>
      <c r="B202" s="12">
        <v>1</v>
      </c>
      <c r="C202" s="12">
        <v>1</v>
      </c>
      <c r="D202" s="12">
        <v>7</v>
      </c>
      <c r="E202" s="12">
        <v>0</v>
      </c>
      <c r="F202" s="12">
        <v>2</v>
      </c>
      <c r="G202" s="14"/>
      <c r="H202" s="58" t="s">
        <v>338</v>
      </c>
      <c r="I202" s="14" t="s">
        <v>301</v>
      </c>
      <c r="J202" s="1">
        <v>70</v>
      </c>
      <c r="K202" s="1">
        <v>75</v>
      </c>
      <c r="L202" s="1">
        <v>180</v>
      </c>
      <c r="M202" s="152">
        <v>241</v>
      </c>
      <c r="N202" s="224">
        <v>245</v>
      </c>
      <c r="O202" s="224">
        <v>245</v>
      </c>
      <c r="P202" s="224">
        <v>250</v>
      </c>
      <c r="Q202" s="224">
        <v>250</v>
      </c>
      <c r="R202" s="224">
        <v>255</v>
      </c>
      <c r="S202" s="224">
        <v>255</v>
      </c>
      <c r="T202" s="224">
        <v>255</v>
      </c>
      <c r="U202" s="224">
        <v>255</v>
      </c>
      <c r="V202" s="224">
        <f>SUM(J202:U202)</f>
        <v>2576</v>
      </c>
      <c r="W202" s="305">
        <v>2024</v>
      </c>
      <c r="X202" s="40">
        <f t="shared" si="66"/>
        <v>0</v>
      </c>
      <c r="Y202" s="40">
        <f t="shared" si="67"/>
        <v>0</v>
      </c>
      <c r="Z202" s="40">
        <f t="shared" si="68"/>
        <v>0</v>
      </c>
    </row>
    <row r="203" spans="1:26" ht="51">
      <c r="A203" s="36" t="s">
        <v>272</v>
      </c>
      <c r="B203" s="12">
        <v>1</v>
      </c>
      <c r="C203" s="12">
        <v>1</v>
      </c>
      <c r="D203" s="12">
        <v>7</v>
      </c>
      <c r="E203" s="12">
        <v>0</v>
      </c>
      <c r="F203" s="12">
        <v>2</v>
      </c>
      <c r="G203" s="14"/>
      <c r="H203" s="58" t="s">
        <v>137</v>
      </c>
      <c r="I203" s="14" t="s">
        <v>301</v>
      </c>
      <c r="J203" s="1">
        <v>74</v>
      </c>
      <c r="K203" s="1">
        <f>K202</f>
        <v>75</v>
      </c>
      <c r="L203" s="1">
        <v>42</v>
      </c>
      <c r="M203" s="163">
        <v>28</v>
      </c>
      <c r="N203" s="215">
        <v>30</v>
      </c>
      <c r="O203" s="215">
        <v>30</v>
      </c>
      <c r="P203" s="215">
        <v>31</v>
      </c>
      <c r="Q203" s="215">
        <v>31</v>
      </c>
      <c r="R203" s="267">
        <v>32</v>
      </c>
      <c r="S203" s="267">
        <v>32</v>
      </c>
      <c r="T203" s="267">
        <v>32</v>
      </c>
      <c r="U203" s="267">
        <v>32</v>
      </c>
      <c r="V203" s="260">
        <f>SUM(J203:U203)</f>
        <v>469</v>
      </c>
      <c r="W203" s="305">
        <v>2024</v>
      </c>
      <c r="X203" s="40">
        <f t="shared" si="66"/>
        <v>0</v>
      </c>
      <c r="Y203" s="40">
        <f t="shared" si="67"/>
        <v>0</v>
      </c>
      <c r="Z203" s="40">
        <f t="shared" si="68"/>
        <v>0</v>
      </c>
    </row>
    <row r="204" spans="1:27" s="50" customFormat="1" ht="38.25">
      <c r="A204" s="65" t="s">
        <v>272</v>
      </c>
      <c r="B204" s="11">
        <v>1</v>
      </c>
      <c r="C204" s="11">
        <v>1</v>
      </c>
      <c r="D204" s="11">
        <v>8</v>
      </c>
      <c r="E204" s="11">
        <v>0</v>
      </c>
      <c r="F204" s="11">
        <v>0</v>
      </c>
      <c r="G204" s="11"/>
      <c r="H204" s="49" t="s">
        <v>339</v>
      </c>
      <c r="I204" s="11" t="s">
        <v>273</v>
      </c>
      <c r="J204" s="10">
        <f aca="true" t="shared" si="69" ref="J204:U204">J205+J206</f>
        <v>26686.6</v>
      </c>
      <c r="K204" s="10">
        <f t="shared" si="69"/>
        <v>5942.1</v>
      </c>
      <c r="L204" s="10">
        <f t="shared" si="69"/>
        <v>8544.7</v>
      </c>
      <c r="M204" s="161">
        <f t="shared" si="69"/>
        <v>9005.7</v>
      </c>
      <c r="N204" s="218">
        <f t="shared" si="69"/>
        <v>11816.3</v>
      </c>
      <c r="O204" s="218">
        <f t="shared" si="69"/>
        <v>12275.3</v>
      </c>
      <c r="P204" s="218">
        <f t="shared" si="69"/>
        <v>11816.3</v>
      </c>
      <c r="Q204" s="218">
        <f t="shared" si="69"/>
        <v>12275.3</v>
      </c>
      <c r="R204" s="218">
        <f t="shared" si="69"/>
        <v>11816.3</v>
      </c>
      <c r="S204" s="218">
        <f t="shared" si="69"/>
        <v>12275.3</v>
      </c>
      <c r="T204" s="218">
        <f t="shared" si="69"/>
        <v>11816.3</v>
      </c>
      <c r="U204" s="218">
        <f t="shared" si="69"/>
        <v>11816.3</v>
      </c>
      <c r="V204" s="218">
        <f>J204+K204+L204+M204+O204+Q204+S204+T204+U204</f>
        <v>110637.6</v>
      </c>
      <c r="W204" s="306">
        <v>2024</v>
      </c>
      <c r="X204" s="40">
        <f t="shared" si="66"/>
        <v>459</v>
      </c>
      <c r="Y204" s="40">
        <f t="shared" si="67"/>
        <v>459</v>
      </c>
      <c r="Z204" s="40">
        <f t="shared" si="68"/>
        <v>459</v>
      </c>
      <c r="AA204" s="37"/>
    </row>
    <row r="205" spans="1:27" s="50" customFormat="1" ht="12.75">
      <c r="A205" s="36" t="s">
        <v>272</v>
      </c>
      <c r="B205" s="12">
        <v>1</v>
      </c>
      <c r="C205" s="12">
        <v>1</v>
      </c>
      <c r="D205" s="12">
        <v>8</v>
      </c>
      <c r="E205" s="12">
        <v>0</v>
      </c>
      <c r="F205" s="12">
        <v>0</v>
      </c>
      <c r="G205" s="12">
        <v>3</v>
      </c>
      <c r="H205" s="42" t="s">
        <v>274</v>
      </c>
      <c r="I205" s="12" t="s">
        <v>273</v>
      </c>
      <c r="J205" s="19">
        <f aca="true" t="shared" si="70" ref="J205:L206">J213</f>
        <v>9925.6</v>
      </c>
      <c r="K205" s="19">
        <f t="shared" si="70"/>
        <v>4123</v>
      </c>
      <c r="L205" s="19">
        <f t="shared" si="70"/>
        <v>6350</v>
      </c>
      <c r="M205" s="158">
        <f aca="true" t="shared" si="71" ref="M205:U206">M213</f>
        <v>6350</v>
      </c>
      <c r="N205" s="209">
        <f t="shared" si="71"/>
        <v>9093.7</v>
      </c>
      <c r="O205" s="209">
        <f t="shared" si="71"/>
        <v>9093.7</v>
      </c>
      <c r="P205" s="209">
        <f t="shared" si="71"/>
        <v>9093.7</v>
      </c>
      <c r="Q205" s="209">
        <f t="shared" si="71"/>
        <v>9093.7</v>
      </c>
      <c r="R205" s="209">
        <f t="shared" si="71"/>
        <v>9093.7</v>
      </c>
      <c r="S205" s="209">
        <f t="shared" si="71"/>
        <v>9093.7</v>
      </c>
      <c r="T205" s="209">
        <f t="shared" si="71"/>
        <v>9093.7</v>
      </c>
      <c r="U205" s="209">
        <f t="shared" si="71"/>
        <v>9093.7</v>
      </c>
      <c r="V205" s="259">
        <f>J205+K205+L205+M205+O205+Q205+S205+T205+U205</f>
        <v>72217.1</v>
      </c>
      <c r="W205" s="303">
        <v>2024</v>
      </c>
      <c r="X205" s="40">
        <f t="shared" si="66"/>
        <v>0</v>
      </c>
      <c r="Y205" s="40">
        <f t="shared" si="67"/>
        <v>0</v>
      </c>
      <c r="Z205" s="40">
        <f t="shared" si="68"/>
        <v>0</v>
      </c>
      <c r="AA205" s="37"/>
    </row>
    <row r="206" spans="1:27" s="50" customFormat="1" ht="12.75">
      <c r="A206" s="36" t="s">
        <v>272</v>
      </c>
      <c r="B206" s="12">
        <v>1</v>
      </c>
      <c r="C206" s="12">
        <v>1</v>
      </c>
      <c r="D206" s="12">
        <v>8</v>
      </c>
      <c r="E206" s="12">
        <v>0</v>
      </c>
      <c r="F206" s="12">
        <v>0</v>
      </c>
      <c r="G206" s="12">
        <v>2</v>
      </c>
      <c r="H206" s="42" t="s">
        <v>275</v>
      </c>
      <c r="I206" s="12" t="s">
        <v>273</v>
      </c>
      <c r="J206" s="19">
        <f t="shared" si="70"/>
        <v>16761</v>
      </c>
      <c r="K206" s="19">
        <f t="shared" si="70"/>
        <v>1819.1</v>
      </c>
      <c r="L206" s="19">
        <f t="shared" si="70"/>
        <v>2194.7</v>
      </c>
      <c r="M206" s="158">
        <f t="shared" si="71"/>
        <v>2655.7</v>
      </c>
      <c r="N206" s="209">
        <f t="shared" si="71"/>
        <v>2722.6</v>
      </c>
      <c r="O206" s="209">
        <f t="shared" si="71"/>
        <v>3181.6</v>
      </c>
      <c r="P206" s="209">
        <f t="shared" si="71"/>
        <v>2722.6</v>
      </c>
      <c r="Q206" s="209">
        <f t="shared" si="71"/>
        <v>3181.6</v>
      </c>
      <c r="R206" s="209">
        <f t="shared" si="71"/>
        <v>2722.6</v>
      </c>
      <c r="S206" s="209">
        <f t="shared" si="71"/>
        <v>3181.6</v>
      </c>
      <c r="T206" s="209">
        <f t="shared" si="71"/>
        <v>2722.6</v>
      </c>
      <c r="U206" s="209">
        <f t="shared" si="71"/>
        <v>2722.6</v>
      </c>
      <c r="V206" s="259">
        <f>J206+K206+L206+M206+O206+Q206+S206+T206+U206</f>
        <v>38420.5</v>
      </c>
      <c r="W206" s="303">
        <v>2024</v>
      </c>
      <c r="X206" s="40">
        <f t="shared" si="66"/>
        <v>459</v>
      </c>
      <c r="Y206" s="40">
        <f t="shared" si="67"/>
        <v>459</v>
      </c>
      <c r="Z206" s="40">
        <f t="shared" si="68"/>
        <v>459</v>
      </c>
      <c r="AA206" s="37"/>
    </row>
    <row r="207" spans="1:26" ht="63.75">
      <c r="A207" s="36" t="s">
        <v>272</v>
      </c>
      <c r="B207" s="12">
        <v>1</v>
      </c>
      <c r="C207" s="12">
        <v>1</v>
      </c>
      <c r="D207" s="12">
        <v>8</v>
      </c>
      <c r="E207" s="12">
        <v>0</v>
      </c>
      <c r="F207" s="12">
        <v>0</v>
      </c>
      <c r="G207" s="14"/>
      <c r="H207" s="63" t="s">
        <v>340</v>
      </c>
      <c r="I207" s="14" t="s">
        <v>312</v>
      </c>
      <c r="J207" s="1">
        <v>6</v>
      </c>
      <c r="K207" s="1">
        <v>7</v>
      </c>
      <c r="L207" s="1">
        <v>7</v>
      </c>
      <c r="M207" s="152">
        <v>7</v>
      </c>
      <c r="N207" s="224">
        <v>9</v>
      </c>
      <c r="O207" s="224">
        <v>9</v>
      </c>
      <c r="P207" s="224">
        <v>9</v>
      </c>
      <c r="Q207" s="224">
        <v>9</v>
      </c>
      <c r="R207" s="224">
        <v>9</v>
      </c>
      <c r="S207" s="224">
        <v>9</v>
      </c>
      <c r="T207" s="224">
        <v>9</v>
      </c>
      <c r="U207" s="224">
        <v>9</v>
      </c>
      <c r="V207" s="224">
        <v>9</v>
      </c>
      <c r="W207" s="305">
        <v>2024</v>
      </c>
      <c r="X207" s="40">
        <f t="shared" si="66"/>
        <v>0</v>
      </c>
      <c r="Y207" s="40">
        <f t="shared" si="67"/>
        <v>0</v>
      </c>
      <c r="Z207" s="40">
        <f t="shared" si="68"/>
        <v>0</v>
      </c>
    </row>
    <row r="208" spans="1:26" ht="38.25">
      <c r="A208" s="36" t="s">
        <v>272</v>
      </c>
      <c r="B208" s="12">
        <v>1</v>
      </c>
      <c r="C208" s="12">
        <v>1</v>
      </c>
      <c r="D208" s="12">
        <v>8</v>
      </c>
      <c r="E208" s="12">
        <v>0</v>
      </c>
      <c r="F208" s="12">
        <v>0</v>
      </c>
      <c r="G208" s="14"/>
      <c r="H208" s="63" t="s">
        <v>48</v>
      </c>
      <c r="I208" s="14" t="s">
        <v>278</v>
      </c>
      <c r="J208" s="25">
        <v>18</v>
      </c>
      <c r="K208" s="25">
        <f>2996/19077*100</f>
        <v>15.7</v>
      </c>
      <c r="L208" s="25">
        <f>3281/19805*100</f>
        <v>16.6</v>
      </c>
      <c r="M208" s="151">
        <v>18.1</v>
      </c>
      <c r="N208" s="231">
        <f>4307/20951*100</f>
        <v>20.6</v>
      </c>
      <c r="O208" s="231">
        <f>4307/20951*100</f>
        <v>20.6</v>
      </c>
      <c r="P208" s="231">
        <f>4307/21576*100</f>
        <v>20</v>
      </c>
      <c r="Q208" s="231">
        <f>4307/21576*100</f>
        <v>20</v>
      </c>
      <c r="R208" s="231">
        <f>4307/21940*100</f>
        <v>19.6</v>
      </c>
      <c r="S208" s="231">
        <f>4307/21940*100</f>
        <v>19.6</v>
      </c>
      <c r="T208" s="231">
        <f>4307/21940*100</f>
        <v>19.6</v>
      </c>
      <c r="U208" s="231">
        <f>4307/21940*100</f>
        <v>19.6</v>
      </c>
      <c r="V208" s="231">
        <v>19.6</v>
      </c>
      <c r="W208" s="305">
        <v>2024</v>
      </c>
      <c r="X208" s="40">
        <f t="shared" si="66"/>
        <v>0</v>
      </c>
      <c r="Y208" s="40">
        <f t="shared" si="67"/>
        <v>0</v>
      </c>
      <c r="Z208" s="40">
        <f t="shared" si="68"/>
        <v>0</v>
      </c>
    </row>
    <row r="209" spans="1:26" ht="63.75">
      <c r="A209" s="36" t="s">
        <v>272</v>
      </c>
      <c r="B209" s="12">
        <v>1</v>
      </c>
      <c r="C209" s="12">
        <v>1</v>
      </c>
      <c r="D209" s="12">
        <v>8</v>
      </c>
      <c r="E209" s="12">
        <v>0</v>
      </c>
      <c r="F209" s="12">
        <v>0</v>
      </c>
      <c r="G209" s="14"/>
      <c r="H209" s="63" t="s">
        <v>138</v>
      </c>
      <c r="I209" s="14" t="s">
        <v>278</v>
      </c>
      <c r="J209" s="6">
        <v>1.1</v>
      </c>
      <c r="K209" s="6">
        <f>K205/K9*100</f>
        <v>0.3</v>
      </c>
      <c r="L209" s="6">
        <f>L205/L9*100</f>
        <v>0.5</v>
      </c>
      <c r="M209" s="177">
        <v>0.4</v>
      </c>
      <c r="N209" s="243">
        <v>0.6</v>
      </c>
      <c r="O209" s="243">
        <v>0.6</v>
      </c>
      <c r="P209" s="243">
        <v>0.6</v>
      </c>
      <c r="Q209" s="243">
        <v>0.6</v>
      </c>
      <c r="R209" s="243">
        <v>0.6</v>
      </c>
      <c r="S209" s="243">
        <v>0.6</v>
      </c>
      <c r="T209" s="243">
        <v>0.6</v>
      </c>
      <c r="U209" s="243">
        <v>0.6</v>
      </c>
      <c r="V209" s="231">
        <v>0.6</v>
      </c>
      <c r="W209" s="305">
        <v>2024</v>
      </c>
      <c r="X209" s="40">
        <f t="shared" si="66"/>
        <v>0</v>
      </c>
      <c r="Y209" s="40">
        <f t="shared" si="67"/>
        <v>0</v>
      </c>
      <c r="Z209" s="40">
        <f t="shared" si="68"/>
        <v>0</v>
      </c>
    </row>
    <row r="210" spans="1:26" ht="63.75">
      <c r="A210" s="51" t="s">
        <v>272</v>
      </c>
      <c r="B210" s="17">
        <v>1</v>
      </c>
      <c r="C210" s="17">
        <v>1</v>
      </c>
      <c r="D210" s="17">
        <v>8</v>
      </c>
      <c r="E210" s="17">
        <v>0</v>
      </c>
      <c r="F210" s="17">
        <v>1</v>
      </c>
      <c r="G210" s="20"/>
      <c r="H210" s="52" t="s">
        <v>58</v>
      </c>
      <c r="I210" s="20" t="s">
        <v>297</v>
      </c>
      <c r="J210" s="23" t="s">
        <v>298</v>
      </c>
      <c r="K210" s="23" t="s">
        <v>298</v>
      </c>
      <c r="L210" s="23" t="s">
        <v>298</v>
      </c>
      <c r="M210" s="145" t="s">
        <v>298</v>
      </c>
      <c r="N210" s="219" t="s">
        <v>298</v>
      </c>
      <c r="O210" s="219" t="s">
        <v>298</v>
      </c>
      <c r="P210" s="219" t="s">
        <v>298</v>
      </c>
      <c r="Q210" s="219" t="s">
        <v>298</v>
      </c>
      <c r="R210" s="219" t="s">
        <v>298</v>
      </c>
      <c r="S210" s="219" t="s">
        <v>298</v>
      </c>
      <c r="T210" s="219" t="s">
        <v>298</v>
      </c>
      <c r="U210" s="219" t="s">
        <v>298</v>
      </c>
      <c r="V210" s="219" t="s">
        <v>298</v>
      </c>
      <c r="W210" s="307">
        <v>2024</v>
      </c>
      <c r="X210" s="40"/>
      <c r="Y210" s="40"/>
      <c r="Z210" s="40"/>
    </row>
    <row r="211" spans="1:26" ht="51">
      <c r="A211" s="36" t="s">
        <v>272</v>
      </c>
      <c r="B211" s="12">
        <v>1</v>
      </c>
      <c r="C211" s="12">
        <v>1</v>
      </c>
      <c r="D211" s="12">
        <v>8</v>
      </c>
      <c r="E211" s="12">
        <v>0</v>
      </c>
      <c r="F211" s="12">
        <v>1</v>
      </c>
      <c r="G211" s="14"/>
      <c r="H211" s="63" t="s">
        <v>179</v>
      </c>
      <c r="I211" s="14" t="s">
        <v>312</v>
      </c>
      <c r="J211" s="1">
        <v>2</v>
      </c>
      <c r="K211" s="1">
        <v>2</v>
      </c>
      <c r="L211" s="1">
        <v>2</v>
      </c>
      <c r="M211" s="189">
        <v>2</v>
      </c>
      <c r="N211" s="215">
        <v>2</v>
      </c>
      <c r="O211" s="215">
        <v>2</v>
      </c>
      <c r="P211" s="215">
        <v>2</v>
      </c>
      <c r="Q211" s="215">
        <v>2</v>
      </c>
      <c r="R211" s="267">
        <v>2</v>
      </c>
      <c r="S211" s="267">
        <v>2</v>
      </c>
      <c r="T211" s="267">
        <v>2</v>
      </c>
      <c r="U211" s="267">
        <v>2</v>
      </c>
      <c r="V211" s="260">
        <f>J211+K211+L211+M211+O211+Q211+S211+T211+U211</f>
        <v>18</v>
      </c>
      <c r="W211" s="305">
        <v>2024</v>
      </c>
      <c r="X211" s="40">
        <f t="shared" si="66"/>
        <v>0</v>
      </c>
      <c r="Y211" s="40">
        <f t="shared" si="67"/>
        <v>0</v>
      </c>
      <c r="Z211" s="40">
        <f t="shared" si="68"/>
        <v>0</v>
      </c>
    </row>
    <row r="212" spans="1:27" s="50" customFormat="1" ht="63.75">
      <c r="A212" s="51" t="s">
        <v>272</v>
      </c>
      <c r="B212" s="17">
        <v>1</v>
      </c>
      <c r="C212" s="17">
        <v>1</v>
      </c>
      <c r="D212" s="17">
        <v>8</v>
      </c>
      <c r="E212" s="17">
        <v>0</v>
      </c>
      <c r="F212" s="17">
        <v>2</v>
      </c>
      <c r="G212" s="17"/>
      <c r="H212" s="53" t="s">
        <v>105</v>
      </c>
      <c r="I212" s="17" t="s">
        <v>273</v>
      </c>
      <c r="J212" s="7">
        <f>J213+J214</f>
        <v>26686.6</v>
      </c>
      <c r="K212" s="7">
        <f>K213+K214</f>
        <v>5942.1</v>
      </c>
      <c r="L212" s="7">
        <f>L213+L214</f>
        <v>8544.7</v>
      </c>
      <c r="M212" s="144">
        <f aca="true" t="shared" si="72" ref="M212:U212">M213+M214</f>
        <v>9005.7</v>
      </c>
      <c r="N212" s="216">
        <f t="shared" si="72"/>
        <v>11816.3</v>
      </c>
      <c r="O212" s="216">
        <f t="shared" si="72"/>
        <v>12275.3</v>
      </c>
      <c r="P212" s="216">
        <f t="shared" si="72"/>
        <v>11816.3</v>
      </c>
      <c r="Q212" s="216">
        <f t="shared" si="72"/>
        <v>12275.3</v>
      </c>
      <c r="R212" s="216">
        <f t="shared" si="72"/>
        <v>11816.3</v>
      </c>
      <c r="S212" s="216">
        <f t="shared" si="72"/>
        <v>12275.3</v>
      </c>
      <c r="T212" s="216">
        <f t="shared" si="72"/>
        <v>11816.3</v>
      </c>
      <c r="U212" s="216">
        <f t="shared" si="72"/>
        <v>11816.3</v>
      </c>
      <c r="V212" s="216">
        <f>J212+K212+L212+M212+O212+Q212+T212+S212+U212</f>
        <v>110637.6</v>
      </c>
      <c r="W212" s="308">
        <v>2024</v>
      </c>
      <c r="X212" s="40">
        <f t="shared" si="66"/>
        <v>459</v>
      </c>
      <c r="Y212" s="40">
        <f t="shared" si="67"/>
        <v>459</v>
      </c>
      <c r="Z212" s="40">
        <f t="shared" si="68"/>
        <v>459</v>
      </c>
      <c r="AA212" s="37"/>
    </row>
    <row r="213" spans="1:27" s="50" customFormat="1" ht="12.75">
      <c r="A213" s="36" t="s">
        <v>272</v>
      </c>
      <c r="B213" s="12">
        <v>1</v>
      </c>
      <c r="C213" s="12">
        <v>1</v>
      </c>
      <c r="D213" s="12">
        <v>8</v>
      </c>
      <c r="E213" s="12">
        <v>0</v>
      </c>
      <c r="F213" s="12">
        <v>2</v>
      </c>
      <c r="G213" s="12">
        <v>3</v>
      </c>
      <c r="H213" s="42" t="s">
        <v>274</v>
      </c>
      <c r="I213" s="12" t="s">
        <v>273</v>
      </c>
      <c r="J213" s="19">
        <f>9850+2275.6-2200</f>
        <v>9925.6</v>
      </c>
      <c r="K213" s="19">
        <v>4123</v>
      </c>
      <c r="L213" s="19">
        <v>6350</v>
      </c>
      <c r="M213" s="158">
        <v>6350</v>
      </c>
      <c r="N213" s="214">
        <v>9093.7</v>
      </c>
      <c r="O213" s="214">
        <v>9093.7</v>
      </c>
      <c r="P213" s="214">
        <v>9093.7</v>
      </c>
      <c r="Q213" s="214">
        <v>9093.7</v>
      </c>
      <c r="R213" s="214">
        <v>9093.7</v>
      </c>
      <c r="S213" s="214">
        <v>9093.7</v>
      </c>
      <c r="T213" s="214">
        <v>9093.7</v>
      </c>
      <c r="U213" s="214">
        <v>9093.7</v>
      </c>
      <c r="V213" s="259">
        <f>J213+K213+L213+M213+O213+Q213+S213+T213+U213</f>
        <v>72217.1</v>
      </c>
      <c r="W213" s="303">
        <v>2024</v>
      </c>
      <c r="X213" s="40">
        <f t="shared" si="66"/>
        <v>0</v>
      </c>
      <c r="Y213" s="40">
        <f t="shared" si="67"/>
        <v>0</v>
      </c>
      <c r="Z213" s="40">
        <f t="shared" si="68"/>
        <v>0</v>
      </c>
      <c r="AA213" s="37"/>
    </row>
    <row r="214" spans="1:27" s="50" customFormat="1" ht="12.75">
      <c r="A214" s="36" t="s">
        <v>272</v>
      </c>
      <c r="B214" s="12">
        <v>1</v>
      </c>
      <c r="C214" s="12">
        <v>1</v>
      </c>
      <c r="D214" s="12">
        <v>8</v>
      </c>
      <c r="E214" s="12">
        <v>0</v>
      </c>
      <c r="F214" s="12">
        <v>2</v>
      </c>
      <c r="G214" s="12">
        <v>2</v>
      </c>
      <c r="H214" s="42" t="s">
        <v>275</v>
      </c>
      <c r="I214" s="12" t="s">
        <v>273</v>
      </c>
      <c r="J214" s="19">
        <f>28761-12000</f>
        <v>16761</v>
      </c>
      <c r="K214" s="19">
        <f>2043.2-224.1</f>
        <v>1819.1</v>
      </c>
      <c r="L214" s="19">
        <v>2194.7</v>
      </c>
      <c r="M214" s="158">
        <v>2655.7</v>
      </c>
      <c r="N214" s="214">
        <v>2722.6</v>
      </c>
      <c r="O214" s="214">
        <v>3181.6</v>
      </c>
      <c r="P214" s="214">
        <v>2722.6</v>
      </c>
      <c r="Q214" s="214">
        <v>3181.6</v>
      </c>
      <c r="R214" s="214">
        <v>2722.6</v>
      </c>
      <c r="S214" s="214">
        <v>3181.6</v>
      </c>
      <c r="T214" s="214">
        <v>2722.6</v>
      </c>
      <c r="U214" s="214">
        <v>2722.6</v>
      </c>
      <c r="V214" s="259">
        <f>J214+K214+L214+M214+O214+Q214+S214+T214+U214</f>
        <v>38420.5</v>
      </c>
      <c r="W214" s="303">
        <v>2024</v>
      </c>
      <c r="X214" s="40">
        <f t="shared" si="66"/>
        <v>459</v>
      </c>
      <c r="Y214" s="40">
        <f t="shared" si="67"/>
        <v>459</v>
      </c>
      <c r="Z214" s="40">
        <f t="shared" si="68"/>
        <v>459</v>
      </c>
      <c r="AA214" s="37"/>
    </row>
    <row r="215" spans="1:26" ht="63.75">
      <c r="A215" s="36" t="s">
        <v>272</v>
      </c>
      <c r="B215" s="12">
        <v>1</v>
      </c>
      <c r="C215" s="12">
        <v>1</v>
      </c>
      <c r="D215" s="12">
        <v>8</v>
      </c>
      <c r="E215" s="12">
        <v>0</v>
      </c>
      <c r="F215" s="12">
        <v>2</v>
      </c>
      <c r="G215" s="14"/>
      <c r="H215" s="58" t="s">
        <v>45</v>
      </c>
      <c r="I215" s="14" t="s">
        <v>278</v>
      </c>
      <c r="J215" s="25">
        <v>4</v>
      </c>
      <c r="K215" s="25">
        <f>904/19077*100</f>
        <v>4.7</v>
      </c>
      <c r="L215" s="25">
        <f>922/19805*100</f>
        <v>4.7</v>
      </c>
      <c r="M215" s="156">
        <v>5.5</v>
      </c>
      <c r="N215" s="210">
        <f>1250/20951*100</f>
        <v>6</v>
      </c>
      <c r="O215" s="210">
        <f>1250/20951*100</f>
        <v>6</v>
      </c>
      <c r="P215" s="210">
        <f>1250/21576*100</f>
        <v>5.8</v>
      </c>
      <c r="Q215" s="210">
        <f>1250/21576*100</f>
        <v>5.8</v>
      </c>
      <c r="R215" s="210">
        <f>1250/21940*100</f>
        <v>5.7</v>
      </c>
      <c r="S215" s="210">
        <f>1250/21940*100</f>
        <v>5.7</v>
      </c>
      <c r="T215" s="210">
        <f>1250/21940*100</f>
        <v>5.7</v>
      </c>
      <c r="U215" s="210">
        <f>1250/21940*100</f>
        <v>5.7</v>
      </c>
      <c r="V215" s="222">
        <f>(J215+K215+L215+M215+O215+Q215+S215+T215+U215)/9</f>
        <v>5.3</v>
      </c>
      <c r="W215" s="305">
        <v>2024</v>
      </c>
      <c r="X215" s="40">
        <f t="shared" si="66"/>
        <v>0</v>
      </c>
      <c r="Y215" s="40">
        <f t="shared" si="67"/>
        <v>0</v>
      </c>
      <c r="Z215" s="40">
        <f t="shared" si="68"/>
        <v>0</v>
      </c>
    </row>
    <row r="216" spans="1:26" ht="57" customHeight="1">
      <c r="A216" s="36" t="s">
        <v>272</v>
      </c>
      <c r="B216" s="12">
        <v>1</v>
      </c>
      <c r="C216" s="12">
        <v>1</v>
      </c>
      <c r="D216" s="12">
        <v>8</v>
      </c>
      <c r="E216" s="12">
        <v>0</v>
      </c>
      <c r="F216" s="12">
        <v>2</v>
      </c>
      <c r="G216" s="14"/>
      <c r="H216" s="58" t="s">
        <v>44</v>
      </c>
      <c r="I216" s="14" t="s">
        <v>273</v>
      </c>
      <c r="J216" s="25">
        <f>J214/3000</f>
        <v>5.6</v>
      </c>
      <c r="K216" s="25">
        <v>2.3</v>
      </c>
      <c r="L216" s="25">
        <f>922/L214</f>
        <v>0.4</v>
      </c>
      <c r="M216" s="141">
        <v>2.4</v>
      </c>
      <c r="N216" s="210">
        <v>2.2</v>
      </c>
      <c r="O216" s="210">
        <v>2.2</v>
      </c>
      <c r="P216" s="210">
        <v>2.2</v>
      </c>
      <c r="Q216" s="210">
        <v>2.2</v>
      </c>
      <c r="R216" s="210">
        <v>2.2</v>
      </c>
      <c r="S216" s="210">
        <v>2.2</v>
      </c>
      <c r="T216" s="210">
        <v>2.2</v>
      </c>
      <c r="U216" s="210">
        <v>2.2</v>
      </c>
      <c r="V216" s="222">
        <f>(J216+K216+L216+M216+O216+Q216+S216+T216+U216)/9</f>
        <v>2.4</v>
      </c>
      <c r="W216" s="305">
        <v>2024</v>
      </c>
      <c r="X216" s="40">
        <f t="shared" si="66"/>
        <v>0</v>
      </c>
      <c r="Y216" s="40">
        <f t="shared" si="67"/>
        <v>0</v>
      </c>
      <c r="Z216" s="40">
        <f t="shared" si="68"/>
        <v>0</v>
      </c>
    </row>
    <row r="217" spans="1:26" ht="38.25">
      <c r="A217" s="36" t="s">
        <v>272</v>
      </c>
      <c r="B217" s="12">
        <v>1</v>
      </c>
      <c r="C217" s="12">
        <v>1</v>
      </c>
      <c r="D217" s="12">
        <v>8</v>
      </c>
      <c r="E217" s="12">
        <v>0</v>
      </c>
      <c r="F217" s="12">
        <v>2</v>
      </c>
      <c r="G217" s="14"/>
      <c r="H217" s="58" t="s">
        <v>343</v>
      </c>
      <c r="I217" s="14" t="s">
        <v>301</v>
      </c>
      <c r="J217" s="1">
        <v>3000</v>
      </c>
      <c r="K217" s="1">
        <v>2996</v>
      </c>
      <c r="L217" s="1">
        <v>3275</v>
      </c>
      <c r="M217" s="163">
        <v>3667</v>
      </c>
      <c r="N217" s="215">
        <v>4307</v>
      </c>
      <c r="O217" s="215">
        <v>4307</v>
      </c>
      <c r="P217" s="215">
        <v>4307</v>
      </c>
      <c r="Q217" s="215">
        <v>4307</v>
      </c>
      <c r="R217" s="215">
        <v>4307</v>
      </c>
      <c r="S217" s="215">
        <v>4307</v>
      </c>
      <c r="T217" s="215">
        <v>4307</v>
      </c>
      <c r="U217" s="215">
        <v>4307</v>
      </c>
      <c r="V217" s="313">
        <f>J217+K217+L217+M217+O217+Q217+S217+T217+U217</f>
        <v>34473</v>
      </c>
      <c r="W217" s="305">
        <v>2024</v>
      </c>
      <c r="X217" s="40">
        <f t="shared" si="66"/>
        <v>0</v>
      </c>
      <c r="Y217" s="40">
        <f t="shared" si="67"/>
        <v>0</v>
      </c>
      <c r="Z217" s="40">
        <f t="shared" si="68"/>
        <v>0</v>
      </c>
    </row>
    <row r="218" spans="1:27" s="50" customFormat="1" ht="38.25">
      <c r="A218" s="65" t="s">
        <v>272</v>
      </c>
      <c r="B218" s="11">
        <v>1</v>
      </c>
      <c r="C218" s="11">
        <v>1</v>
      </c>
      <c r="D218" s="11">
        <v>9</v>
      </c>
      <c r="E218" s="11">
        <v>0</v>
      </c>
      <c r="F218" s="11">
        <v>0</v>
      </c>
      <c r="G218" s="11"/>
      <c r="H218" s="49" t="s">
        <v>341</v>
      </c>
      <c r="I218" s="11" t="s">
        <v>273</v>
      </c>
      <c r="J218" s="10">
        <f>J219</f>
        <v>9999.9</v>
      </c>
      <c r="K218" s="10">
        <f aca="true" t="shared" si="73" ref="K218:U218">K219+K220</f>
        <v>10555.9</v>
      </c>
      <c r="L218" s="10">
        <f t="shared" si="73"/>
        <v>12931</v>
      </c>
      <c r="M218" s="161">
        <f t="shared" si="73"/>
        <v>13900.7</v>
      </c>
      <c r="N218" s="218">
        <f t="shared" si="73"/>
        <v>15961.1</v>
      </c>
      <c r="O218" s="218">
        <f t="shared" si="73"/>
        <v>16729</v>
      </c>
      <c r="P218" s="218">
        <f t="shared" si="73"/>
        <v>15729.9</v>
      </c>
      <c r="Q218" s="218">
        <f t="shared" si="73"/>
        <v>15729.9</v>
      </c>
      <c r="R218" s="218">
        <f t="shared" si="73"/>
        <v>17264</v>
      </c>
      <c r="S218" s="218">
        <f t="shared" si="73"/>
        <v>17264</v>
      </c>
      <c r="T218" s="218">
        <f t="shared" si="73"/>
        <v>17264</v>
      </c>
      <c r="U218" s="218">
        <f t="shared" si="73"/>
        <v>17264</v>
      </c>
      <c r="V218" s="218">
        <f>J218+K218+L218+M218+O218+Q218+S218+T218+U218</f>
        <v>131638.4</v>
      </c>
      <c r="W218" s="306">
        <v>2024</v>
      </c>
      <c r="X218" s="40">
        <f t="shared" si="66"/>
        <v>767.9</v>
      </c>
      <c r="Y218" s="40">
        <f t="shared" si="67"/>
        <v>0</v>
      </c>
      <c r="Z218" s="40">
        <f t="shared" si="68"/>
        <v>0</v>
      </c>
      <c r="AA218" s="37"/>
    </row>
    <row r="219" spans="1:27" s="50" customFormat="1" ht="12.75">
      <c r="A219" s="36" t="s">
        <v>272</v>
      </c>
      <c r="B219" s="12">
        <v>1</v>
      </c>
      <c r="C219" s="12">
        <v>1</v>
      </c>
      <c r="D219" s="12">
        <v>9</v>
      </c>
      <c r="E219" s="12">
        <v>0</v>
      </c>
      <c r="F219" s="12">
        <v>0</v>
      </c>
      <c r="G219" s="12">
        <v>3</v>
      </c>
      <c r="H219" s="42" t="s">
        <v>274</v>
      </c>
      <c r="I219" s="12" t="s">
        <v>273</v>
      </c>
      <c r="J219" s="19">
        <f aca="true" t="shared" si="74" ref="J219:U219">J228</f>
        <v>9999.9</v>
      </c>
      <c r="K219" s="19">
        <f t="shared" si="74"/>
        <v>10180.9</v>
      </c>
      <c r="L219" s="19">
        <f t="shared" si="74"/>
        <v>11438.3</v>
      </c>
      <c r="M219" s="158">
        <f t="shared" si="74"/>
        <v>13900.7</v>
      </c>
      <c r="N219" s="209">
        <f t="shared" si="74"/>
        <v>15961.1</v>
      </c>
      <c r="O219" s="209">
        <f t="shared" si="74"/>
        <v>16729</v>
      </c>
      <c r="P219" s="209">
        <f t="shared" si="74"/>
        <v>15729.9</v>
      </c>
      <c r="Q219" s="209">
        <f t="shared" si="74"/>
        <v>15729.9</v>
      </c>
      <c r="R219" s="209">
        <f t="shared" si="74"/>
        <v>17264</v>
      </c>
      <c r="S219" s="209">
        <f t="shared" si="74"/>
        <v>17264</v>
      </c>
      <c r="T219" s="209">
        <f t="shared" si="74"/>
        <v>17264</v>
      </c>
      <c r="U219" s="209">
        <f t="shared" si="74"/>
        <v>17264</v>
      </c>
      <c r="V219" s="259">
        <f>J219+K219+L219+M219+O219+Q219+S219+T219+U219</f>
        <v>129770.7</v>
      </c>
      <c r="W219" s="303">
        <v>2024</v>
      </c>
      <c r="X219" s="40">
        <f t="shared" si="66"/>
        <v>767.9</v>
      </c>
      <c r="Y219" s="40">
        <f t="shared" si="67"/>
        <v>0</v>
      </c>
      <c r="Z219" s="40">
        <f t="shared" si="68"/>
        <v>0</v>
      </c>
      <c r="AA219" s="37"/>
    </row>
    <row r="220" spans="1:27" s="50" customFormat="1" ht="12.75">
      <c r="A220" s="36" t="s">
        <v>272</v>
      </c>
      <c r="B220" s="12">
        <v>1</v>
      </c>
      <c r="C220" s="12">
        <v>1</v>
      </c>
      <c r="D220" s="12">
        <v>9</v>
      </c>
      <c r="E220" s="12">
        <v>0</v>
      </c>
      <c r="F220" s="12">
        <v>0</v>
      </c>
      <c r="G220" s="12">
        <v>3</v>
      </c>
      <c r="H220" s="42" t="s">
        <v>225</v>
      </c>
      <c r="I220" s="12" t="s">
        <v>273</v>
      </c>
      <c r="J220" s="19">
        <v>0</v>
      </c>
      <c r="K220" s="19">
        <f>K229</f>
        <v>375</v>
      </c>
      <c r="L220" s="19">
        <f>L229</f>
        <v>1492.7</v>
      </c>
      <c r="M220" s="158">
        <v>0</v>
      </c>
      <c r="N220" s="214">
        <v>0</v>
      </c>
      <c r="O220" s="214">
        <v>0</v>
      </c>
      <c r="P220" s="214">
        <v>0</v>
      </c>
      <c r="Q220" s="214">
        <v>0</v>
      </c>
      <c r="R220" s="209">
        <f>R229</f>
        <v>0</v>
      </c>
      <c r="S220" s="209">
        <f>S229</f>
        <v>0</v>
      </c>
      <c r="T220" s="209">
        <f>T229</f>
        <v>0</v>
      </c>
      <c r="U220" s="209">
        <f>U229</f>
        <v>0</v>
      </c>
      <c r="V220" s="259">
        <f>J220+K220+L220+M220+O220+Q220+S220+T220+U220</f>
        <v>1867.7</v>
      </c>
      <c r="W220" s="314">
        <v>2018</v>
      </c>
      <c r="X220" s="40">
        <f t="shared" si="66"/>
        <v>0</v>
      </c>
      <c r="Y220" s="40">
        <f t="shared" si="67"/>
        <v>0</v>
      </c>
      <c r="Z220" s="40">
        <f t="shared" si="68"/>
        <v>0</v>
      </c>
      <c r="AA220" s="37"/>
    </row>
    <row r="221" spans="1:26" ht="63.75">
      <c r="A221" s="36" t="s">
        <v>272</v>
      </c>
      <c r="B221" s="12">
        <v>1</v>
      </c>
      <c r="C221" s="12">
        <v>1</v>
      </c>
      <c r="D221" s="12">
        <v>9</v>
      </c>
      <c r="E221" s="12">
        <v>0</v>
      </c>
      <c r="F221" s="12">
        <v>0</v>
      </c>
      <c r="G221" s="14"/>
      <c r="H221" s="63" t="s">
        <v>43</v>
      </c>
      <c r="I221" s="14" t="s">
        <v>278</v>
      </c>
      <c r="J221" s="25">
        <v>100</v>
      </c>
      <c r="K221" s="25">
        <v>100</v>
      </c>
      <c r="L221" s="25">
        <v>100</v>
      </c>
      <c r="M221" s="156">
        <v>100</v>
      </c>
      <c r="N221" s="210">
        <v>100</v>
      </c>
      <c r="O221" s="210">
        <v>100</v>
      </c>
      <c r="P221" s="210">
        <v>100</v>
      </c>
      <c r="Q221" s="210">
        <v>100</v>
      </c>
      <c r="R221" s="210">
        <v>100</v>
      </c>
      <c r="S221" s="210">
        <v>100</v>
      </c>
      <c r="T221" s="210">
        <v>100</v>
      </c>
      <c r="U221" s="210">
        <v>100</v>
      </c>
      <c r="V221" s="222">
        <v>100</v>
      </c>
      <c r="W221" s="305">
        <v>2024</v>
      </c>
      <c r="X221" s="40">
        <f t="shared" si="66"/>
        <v>0</v>
      </c>
      <c r="Y221" s="40">
        <f t="shared" si="67"/>
        <v>0</v>
      </c>
      <c r="Z221" s="40">
        <f t="shared" si="68"/>
        <v>0</v>
      </c>
    </row>
    <row r="222" spans="1:26" ht="76.5">
      <c r="A222" s="36" t="s">
        <v>272</v>
      </c>
      <c r="B222" s="12">
        <v>1</v>
      </c>
      <c r="C222" s="12">
        <v>1</v>
      </c>
      <c r="D222" s="12">
        <v>9</v>
      </c>
      <c r="E222" s="12">
        <v>0</v>
      </c>
      <c r="F222" s="12">
        <v>0</v>
      </c>
      <c r="G222" s="14"/>
      <c r="H222" s="63" t="s">
        <v>142</v>
      </c>
      <c r="I222" s="14" t="s">
        <v>278</v>
      </c>
      <c r="J222" s="6">
        <f>J219/J9*100</f>
        <v>0.9</v>
      </c>
      <c r="K222" s="6">
        <f>K219/K9*100</f>
        <v>0.8</v>
      </c>
      <c r="L222" s="6">
        <f>L219/L9*100</f>
        <v>0.8</v>
      </c>
      <c r="M222" s="177">
        <v>0.8</v>
      </c>
      <c r="N222" s="243">
        <v>1</v>
      </c>
      <c r="O222" s="243">
        <v>1</v>
      </c>
      <c r="P222" s="243">
        <v>1</v>
      </c>
      <c r="Q222" s="243">
        <v>1</v>
      </c>
      <c r="R222" s="243">
        <v>1.1</v>
      </c>
      <c r="S222" s="243">
        <v>1.1</v>
      </c>
      <c r="T222" s="243">
        <v>1.1</v>
      </c>
      <c r="U222" s="243">
        <v>1.1</v>
      </c>
      <c r="V222" s="243">
        <f>(J222+K222+L222+M222+O222+Q222+S222+T222+U222)/9</f>
        <v>1</v>
      </c>
      <c r="W222" s="305">
        <v>2024</v>
      </c>
      <c r="X222" s="40">
        <f t="shared" si="66"/>
        <v>0</v>
      </c>
      <c r="Y222" s="40">
        <f t="shared" si="67"/>
        <v>0</v>
      </c>
      <c r="Z222" s="40">
        <f t="shared" si="68"/>
        <v>0</v>
      </c>
    </row>
    <row r="223" spans="1:26" ht="102">
      <c r="A223" s="36" t="s">
        <v>272</v>
      </c>
      <c r="B223" s="12">
        <v>1</v>
      </c>
      <c r="C223" s="12">
        <v>1</v>
      </c>
      <c r="D223" s="12">
        <v>9</v>
      </c>
      <c r="E223" s="12">
        <v>0</v>
      </c>
      <c r="F223" s="12">
        <v>0</v>
      </c>
      <c r="G223" s="14"/>
      <c r="H223" s="63" t="s">
        <v>186</v>
      </c>
      <c r="I223" s="14" t="s">
        <v>301</v>
      </c>
      <c r="J223" s="56">
        <v>0</v>
      </c>
      <c r="K223" s="1">
        <v>1230</v>
      </c>
      <c r="L223" s="1">
        <v>1300</v>
      </c>
      <c r="M223" s="152">
        <v>1320</v>
      </c>
      <c r="N223" s="224">
        <v>1320</v>
      </c>
      <c r="O223" s="224">
        <v>1320</v>
      </c>
      <c r="P223" s="224">
        <v>1320</v>
      </c>
      <c r="Q223" s="224">
        <v>1320</v>
      </c>
      <c r="R223" s="224">
        <v>1320</v>
      </c>
      <c r="S223" s="224">
        <v>1320</v>
      </c>
      <c r="T223" s="224">
        <v>1320</v>
      </c>
      <c r="U223" s="224">
        <v>1320</v>
      </c>
      <c r="V223" s="224">
        <f>J223+K223+L223+M223+O223+Q223+S223+T223+U223</f>
        <v>10450</v>
      </c>
      <c r="W223" s="305">
        <v>2024</v>
      </c>
      <c r="X223" s="40">
        <f t="shared" si="66"/>
        <v>0</v>
      </c>
      <c r="Y223" s="40">
        <f t="shared" si="67"/>
        <v>0</v>
      </c>
      <c r="Z223" s="40">
        <f t="shared" si="68"/>
        <v>0</v>
      </c>
    </row>
    <row r="224" spans="1:26" ht="51">
      <c r="A224" s="36" t="s">
        <v>272</v>
      </c>
      <c r="B224" s="12">
        <v>1</v>
      </c>
      <c r="C224" s="12">
        <v>1</v>
      </c>
      <c r="D224" s="12">
        <v>9</v>
      </c>
      <c r="E224" s="12">
        <v>0</v>
      </c>
      <c r="F224" s="12">
        <v>0</v>
      </c>
      <c r="G224" s="14"/>
      <c r="H224" s="63" t="s">
        <v>287</v>
      </c>
      <c r="I224" s="14" t="s">
        <v>312</v>
      </c>
      <c r="J224" s="71">
        <v>0</v>
      </c>
      <c r="K224" s="8">
        <v>0</v>
      </c>
      <c r="L224" s="8">
        <v>0</v>
      </c>
      <c r="M224" s="152">
        <v>3973</v>
      </c>
      <c r="N224" s="224">
        <v>4000</v>
      </c>
      <c r="O224" s="224">
        <v>4000</v>
      </c>
      <c r="P224" s="224">
        <v>4100</v>
      </c>
      <c r="Q224" s="224">
        <v>4100</v>
      </c>
      <c r="R224" s="224">
        <v>4200</v>
      </c>
      <c r="S224" s="224">
        <v>4200</v>
      </c>
      <c r="T224" s="224">
        <v>4200</v>
      </c>
      <c r="U224" s="224">
        <v>4200</v>
      </c>
      <c r="V224" s="224">
        <f>J224+K224+L224+M224+O224+Q224+S224+T224+U224</f>
        <v>24673</v>
      </c>
      <c r="W224" s="312">
        <v>2024</v>
      </c>
      <c r="X224" s="40">
        <f t="shared" si="66"/>
        <v>0</v>
      </c>
      <c r="Y224" s="40">
        <f t="shared" si="67"/>
        <v>0</v>
      </c>
      <c r="Z224" s="40">
        <f t="shared" si="68"/>
        <v>0</v>
      </c>
    </row>
    <row r="225" spans="1:26" ht="38.25">
      <c r="A225" s="51" t="s">
        <v>272</v>
      </c>
      <c r="B225" s="17">
        <v>1</v>
      </c>
      <c r="C225" s="17">
        <v>1</v>
      </c>
      <c r="D225" s="17">
        <v>9</v>
      </c>
      <c r="E225" s="17">
        <v>0</v>
      </c>
      <c r="F225" s="17">
        <v>1</v>
      </c>
      <c r="G225" s="20"/>
      <c r="H225" s="52" t="s">
        <v>237</v>
      </c>
      <c r="I225" s="20" t="s">
        <v>297</v>
      </c>
      <c r="J225" s="23" t="s">
        <v>298</v>
      </c>
      <c r="K225" s="23" t="s">
        <v>298</v>
      </c>
      <c r="L225" s="23" t="s">
        <v>298</v>
      </c>
      <c r="M225" s="145" t="s">
        <v>298</v>
      </c>
      <c r="N225" s="219" t="s">
        <v>298</v>
      </c>
      <c r="O225" s="219" t="s">
        <v>298</v>
      </c>
      <c r="P225" s="219" t="s">
        <v>298</v>
      </c>
      <c r="Q225" s="219" t="s">
        <v>298</v>
      </c>
      <c r="R225" s="219" t="s">
        <v>298</v>
      </c>
      <c r="S225" s="219" t="s">
        <v>298</v>
      </c>
      <c r="T225" s="219" t="s">
        <v>298</v>
      </c>
      <c r="U225" s="219" t="s">
        <v>298</v>
      </c>
      <c r="V225" s="219" t="s">
        <v>298</v>
      </c>
      <c r="W225" s="307">
        <v>2024</v>
      </c>
      <c r="X225" s="40"/>
      <c r="Y225" s="40"/>
      <c r="Z225" s="40"/>
    </row>
    <row r="226" spans="1:26" ht="51">
      <c r="A226" s="36" t="s">
        <v>272</v>
      </c>
      <c r="B226" s="12">
        <v>1</v>
      </c>
      <c r="C226" s="12">
        <v>1</v>
      </c>
      <c r="D226" s="12">
        <v>9</v>
      </c>
      <c r="E226" s="12">
        <v>0</v>
      </c>
      <c r="F226" s="12">
        <v>1</v>
      </c>
      <c r="G226" s="14"/>
      <c r="H226" s="63" t="s">
        <v>342</v>
      </c>
      <c r="I226" s="14" t="s">
        <v>278</v>
      </c>
      <c r="J226" s="25">
        <v>100</v>
      </c>
      <c r="K226" s="25">
        <v>100</v>
      </c>
      <c r="L226" s="25">
        <v>100</v>
      </c>
      <c r="M226" s="156">
        <v>100</v>
      </c>
      <c r="N226" s="210">
        <v>100</v>
      </c>
      <c r="O226" s="210">
        <v>100</v>
      </c>
      <c r="P226" s="210">
        <v>100</v>
      </c>
      <c r="Q226" s="210">
        <v>100</v>
      </c>
      <c r="R226" s="210">
        <v>100</v>
      </c>
      <c r="S226" s="210">
        <v>100</v>
      </c>
      <c r="T226" s="210">
        <v>100</v>
      </c>
      <c r="U226" s="210">
        <v>100</v>
      </c>
      <c r="V226" s="210">
        <v>100</v>
      </c>
      <c r="W226" s="305">
        <v>2024</v>
      </c>
      <c r="X226" s="40">
        <f t="shared" si="66"/>
        <v>0</v>
      </c>
      <c r="Y226" s="40">
        <f t="shared" si="67"/>
        <v>0</v>
      </c>
      <c r="Z226" s="40">
        <f t="shared" si="68"/>
        <v>0</v>
      </c>
    </row>
    <row r="227" spans="1:27" s="50" customFormat="1" ht="63.75">
      <c r="A227" s="51" t="s">
        <v>272</v>
      </c>
      <c r="B227" s="17">
        <v>1</v>
      </c>
      <c r="C227" s="17">
        <v>1</v>
      </c>
      <c r="D227" s="17">
        <v>9</v>
      </c>
      <c r="E227" s="17">
        <v>0</v>
      </c>
      <c r="F227" s="17">
        <v>2</v>
      </c>
      <c r="G227" s="17"/>
      <c r="H227" s="53" t="s">
        <v>106</v>
      </c>
      <c r="I227" s="17" t="s">
        <v>273</v>
      </c>
      <c r="J227" s="7">
        <f>J228</f>
        <v>9999.9</v>
      </c>
      <c r="K227" s="7">
        <f>K228+K229</f>
        <v>10555.9</v>
      </c>
      <c r="L227" s="7">
        <f>L228+L229</f>
        <v>12931</v>
      </c>
      <c r="M227" s="148">
        <f aca="true" t="shared" si="75" ref="M227:U227">M228</f>
        <v>13900.7</v>
      </c>
      <c r="N227" s="213">
        <f t="shared" si="75"/>
        <v>15961.1</v>
      </c>
      <c r="O227" s="213">
        <f t="shared" si="75"/>
        <v>16729</v>
      </c>
      <c r="P227" s="213">
        <f t="shared" si="75"/>
        <v>15729.9</v>
      </c>
      <c r="Q227" s="213">
        <f t="shared" si="75"/>
        <v>15729.9</v>
      </c>
      <c r="R227" s="213">
        <f t="shared" si="75"/>
        <v>17264</v>
      </c>
      <c r="S227" s="213">
        <f t="shared" si="75"/>
        <v>17264</v>
      </c>
      <c r="T227" s="213">
        <f t="shared" si="75"/>
        <v>17264</v>
      </c>
      <c r="U227" s="213">
        <f t="shared" si="75"/>
        <v>17264</v>
      </c>
      <c r="V227" s="216">
        <f>J227+K227+L227+M227+O227+Q227+S227+T227+U227</f>
        <v>131638.4</v>
      </c>
      <c r="W227" s="308">
        <v>2024</v>
      </c>
      <c r="X227" s="40">
        <f t="shared" si="66"/>
        <v>767.9</v>
      </c>
      <c r="Y227" s="40">
        <f t="shared" si="67"/>
        <v>0</v>
      </c>
      <c r="Z227" s="40">
        <f t="shared" si="68"/>
        <v>0</v>
      </c>
      <c r="AA227" s="37"/>
    </row>
    <row r="228" spans="1:27" s="50" customFormat="1" ht="12.75">
      <c r="A228" s="36" t="s">
        <v>272</v>
      </c>
      <c r="B228" s="12">
        <v>1</v>
      </c>
      <c r="C228" s="12">
        <v>1</v>
      </c>
      <c r="D228" s="12">
        <v>9</v>
      </c>
      <c r="E228" s="12">
        <v>0</v>
      </c>
      <c r="F228" s="12">
        <v>2</v>
      </c>
      <c r="G228" s="12">
        <v>3</v>
      </c>
      <c r="H228" s="42" t="s">
        <v>274</v>
      </c>
      <c r="I228" s="12" t="s">
        <v>273</v>
      </c>
      <c r="J228" s="19">
        <f>10273-273.1</f>
        <v>9999.9</v>
      </c>
      <c r="K228" s="19">
        <v>10180.9</v>
      </c>
      <c r="L228" s="19">
        <v>11438.3</v>
      </c>
      <c r="M228" s="158">
        <v>13900.7</v>
      </c>
      <c r="N228" s="214">
        <v>15961.1</v>
      </c>
      <c r="O228" s="214">
        <v>16729</v>
      </c>
      <c r="P228" s="214">
        <v>15729.9</v>
      </c>
      <c r="Q228" s="214">
        <v>15729.9</v>
      </c>
      <c r="R228" s="214">
        <v>17264</v>
      </c>
      <c r="S228" s="214">
        <v>17264</v>
      </c>
      <c r="T228" s="214">
        <v>17264</v>
      </c>
      <c r="U228" s="214">
        <v>17264</v>
      </c>
      <c r="V228" s="259">
        <f>J228+K228+L228+M228+O228+Q228+S228+T228+U228</f>
        <v>129770.7</v>
      </c>
      <c r="W228" s="303">
        <v>2024</v>
      </c>
      <c r="X228" s="40">
        <f t="shared" si="66"/>
        <v>767.9</v>
      </c>
      <c r="Y228" s="40">
        <f t="shared" si="67"/>
        <v>0</v>
      </c>
      <c r="Z228" s="40">
        <f t="shared" si="68"/>
        <v>0</v>
      </c>
      <c r="AA228" s="37"/>
    </row>
    <row r="229" spans="1:27" s="50" customFormat="1" ht="12.75">
      <c r="A229" s="36" t="s">
        <v>272</v>
      </c>
      <c r="B229" s="12">
        <v>1</v>
      </c>
      <c r="C229" s="12">
        <v>1</v>
      </c>
      <c r="D229" s="12">
        <v>9</v>
      </c>
      <c r="E229" s="12">
        <v>0</v>
      </c>
      <c r="F229" s="12">
        <v>2</v>
      </c>
      <c r="G229" s="12">
        <v>3</v>
      </c>
      <c r="H229" s="42" t="s">
        <v>225</v>
      </c>
      <c r="I229" s="12" t="s">
        <v>273</v>
      </c>
      <c r="J229" s="19">
        <v>0</v>
      </c>
      <c r="K229" s="19">
        <f>374.9+0.05</f>
        <v>375</v>
      </c>
      <c r="L229" s="19">
        <v>1492.7</v>
      </c>
      <c r="M229" s="158">
        <v>0</v>
      </c>
      <c r="N229" s="214">
        <v>0</v>
      </c>
      <c r="O229" s="214">
        <v>0</v>
      </c>
      <c r="P229" s="214">
        <v>0</v>
      </c>
      <c r="Q229" s="214">
        <v>0</v>
      </c>
      <c r="R229" s="209">
        <v>0</v>
      </c>
      <c r="S229" s="209">
        <v>0</v>
      </c>
      <c r="T229" s="209">
        <v>0</v>
      </c>
      <c r="U229" s="209">
        <v>0</v>
      </c>
      <c r="V229" s="259">
        <f>J229+K229+L229+M229+O229+Q229+S229+T229+U229</f>
        <v>1867.7</v>
      </c>
      <c r="W229" s="303">
        <v>2018</v>
      </c>
      <c r="X229" s="40">
        <f t="shared" si="66"/>
        <v>0</v>
      </c>
      <c r="Y229" s="40">
        <f t="shared" si="67"/>
        <v>0</v>
      </c>
      <c r="Z229" s="40">
        <f t="shared" si="68"/>
        <v>0</v>
      </c>
      <c r="AA229" s="37"/>
    </row>
    <row r="230" spans="1:26" ht="51">
      <c r="A230" s="36" t="s">
        <v>272</v>
      </c>
      <c r="B230" s="12">
        <v>1</v>
      </c>
      <c r="C230" s="12">
        <v>1</v>
      </c>
      <c r="D230" s="12">
        <v>9</v>
      </c>
      <c r="E230" s="12">
        <v>0</v>
      </c>
      <c r="F230" s="12">
        <v>2</v>
      </c>
      <c r="G230" s="14"/>
      <c r="H230" s="63" t="s">
        <v>55</v>
      </c>
      <c r="I230" s="14" t="s">
        <v>301</v>
      </c>
      <c r="J230" s="1">
        <v>1086</v>
      </c>
      <c r="K230" s="1">
        <v>0</v>
      </c>
      <c r="L230" s="1">
        <v>0</v>
      </c>
      <c r="M230" s="189">
        <v>0</v>
      </c>
      <c r="N230" s="215">
        <v>0</v>
      </c>
      <c r="O230" s="215">
        <v>0</v>
      </c>
      <c r="P230" s="215">
        <v>0</v>
      </c>
      <c r="Q230" s="215">
        <v>0</v>
      </c>
      <c r="R230" s="215">
        <v>0</v>
      </c>
      <c r="S230" s="215">
        <v>0</v>
      </c>
      <c r="T230" s="215">
        <v>0</v>
      </c>
      <c r="U230" s="215">
        <v>0</v>
      </c>
      <c r="V230" s="260">
        <v>1086</v>
      </c>
      <c r="W230" s="305">
        <v>2016</v>
      </c>
      <c r="X230" s="40">
        <f t="shared" si="66"/>
        <v>0</v>
      </c>
      <c r="Y230" s="40">
        <f t="shared" si="67"/>
        <v>0</v>
      </c>
      <c r="Z230" s="40">
        <f t="shared" si="68"/>
        <v>0</v>
      </c>
    </row>
    <row r="231" spans="1:26" ht="89.25">
      <c r="A231" s="36" t="s">
        <v>272</v>
      </c>
      <c r="B231" s="12">
        <v>1</v>
      </c>
      <c r="C231" s="12">
        <v>1</v>
      </c>
      <c r="D231" s="12">
        <v>9</v>
      </c>
      <c r="E231" s="12">
        <v>0</v>
      </c>
      <c r="F231" s="12">
        <v>2</v>
      </c>
      <c r="G231" s="14"/>
      <c r="H231" s="63" t="s">
        <v>19</v>
      </c>
      <c r="I231" s="14" t="s">
        <v>226</v>
      </c>
      <c r="J231" s="1">
        <v>11795</v>
      </c>
      <c r="K231" s="1">
        <v>8400</v>
      </c>
      <c r="L231" s="1">
        <v>8400</v>
      </c>
      <c r="M231" s="189">
        <v>8400</v>
      </c>
      <c r="N231" s="215">
        <v>8400</v>
      </c>
      <c r="O231" s="215">
        <v>8400</v>
      </c>
      <c r="P231" s="215">
        <v>8400</v>
      </c>
      <c r="Q231" s="215">
        <v>8400</v>
      </c>
      <c r="R231" s="215">
        <v>8400</v>
      </c>
      <c r="S231" s="215">
        <v>8400</v>
      </c>
      <c r="T231" s="215">
        <v>8400</v>
      </c>
      <c r="U231" s="215">
        <v>8400</v>
      </c>
      <c r="V231" s="260">
        <f>(J231+K231+L231+M231+O231+Q231+S231+T231+U231)/9</f>
        <v>8777</v>
      </c>
      <c r="W231" s="305">
        <v>2024</v>
      </c>
      <c r="X231" s="40">
        <f t="shared" si="66"/>
        <v>0</v>
      </c>
      <c r="Y231" s="40">
        <f t="shared" si="67"/>
        <v>0</v>
      </c>
      <c r="Z231" s="40">
        <f t="shared" si="68"/>
        <v>0</v>
      </c>
    </row>
    <row r="232" spans="1:26" ht="51">
      <c r="A232" s="12" t="s">
        <v>272</v>
      </c>
      <c r="B232" s="12">
        <v>1</v>
      </c>
      <c r="C232" s="12">
        <v>1</v>
      </c>
      <c r="D232" s="12">
        <v>9</v>
      </c>
      <c r="E232" s="12">
        <v>0</v>
      </c>
      <c r="F232" s="12">
        <v>2</v>
      </c>
      <c r="G232" s="66"/>
      <c r="H232" s="67" t="s">
        <v>223</v>
      </c>
      <c r="I232" s="66" t="s">
        <v>224</v>
      </c>
      <c r="J232" s="25">
        <v>0</v>
      </c>
      <c r="K232" s="25">
        <v>36066</v>
      </c>
      <c r="L232" s="25">
        <v>42098.7</v>
      </c>
      <c r="M232" s="156">
        <v>45742</v>
      </c>
      <c r="N232" s="235">
        <v>45742</v>
      </c>
      <c r="O232" s="210">
        <v>45742</v>
      </c>
      <c r="P232" s="235">
        <v>45742</v>
      </c>
      <c r="Q232" s="210">
        <v>45742</v>
      </c>
      <c r="R232" s="235">
        <v>45742</v>
      </c>
      <c r="S232" s="210">
        <v>45742</v>
      </c>
      <c r="T232" s="210">
        <v>45742</v>
      </c>
      <c r="U232" s="210">
        <v>45742</v>
      </c>
      <c r="V232" s="210">
        <v>45406</v>
      </c>
      <c r="W232" s="305">
        <v>2024</v>
      </c>
      <c r="X232" s="40">
        <f t="shared" si="66"/>
        <v>0</v>
      </c>
      <c r="Y232" s="40">
        <f t="shared" si="67"/>
        <v>0</v>
      </c>
      <c r="Z232" s="40">
        <f t="shared" si="68"/>
        <v>0</v>
      </c>
    </row>
    <row r="233" spans="1:26" ht="76.5">
      <c r="A233" s="36" t="s">
        <v>272</v>
      </c>
      <c r="B233" s="12">
        <v>1</v>
      </c>
      <c r="C233" s="12">
        <v>1</v>
      </c>
      <c r="D233" s="12">
        <v>9</v>
      </c>
      <c r="E233" s="12">
        <v>0</v>
      </c>
      <c r="F233" s="12">
        <v>2</v>
      </c>
      <c r="G233" s="14"/>
      <c r="H233" s="63" t="s">
        <v>163</v>
      </c>
      <c r="I233" s="14" t="s">
        <v>301</v>
      </c>
      <c r="J233" s="1">
        <v>0</v>
      </c>
      <c r="K233" s="1">
        <v>200</v>
      </c>
      <c r="L233" s="1">
        <v>200</v>
      </c>
      <c r="M233" s="189">
        <v>200</v>
      </c>
      <c r="N233" s="215">
        <v>200</v>
      </c>
      <c r="O233" s="215">
        <v>200</v>
      </c>
      <c r="P233" s="215">
        <v>200</v>
      </c>
      <c r="Q233" s="215">
        <v>200</v>
      </c>
      <c r="R233" s="215">
        <v>200</v>
      </c>
      <c r="S233" s="215">
        <v>200</v>
      </c>
      <c r="T233" s="215">
        <v>200</v>
      </c>
      <c r="U233" s="215">
        <v>200</v>
      </c>
      <c r="V233" s="260">
        <f>J233+K233+L233+M233+O233+Q233+S233+T233+U233</f>
        <v>1600</v>
      </c>
      <c r="W233" s="305">
        <v>2024</v>
      </c>
      <c r="X233" s="40">
        <f t="shared" si="66"/>
        <v>0</v>
      </c>
      <c r="Y233" s="40">
        <f t="shared" si="67"/>
        <v>0</v>
      </c>
      <c r="Z233" s="40">
        <f t="shared" si="68"/>
        <v>0</v>
      </c>
    </row>
    <row r="234" spans="1:26" ht="63.75">
      <c r="A234" s="36" t="s">
        <v>272</v>
      </c>
      <c r="B234" s="12">
        <v>1</v>
      </c>
      <c r="C234" s="12">
        <v>1</v>
      </c>
      <c r="D234" s="12">
        <v>9</v>
      </c>
      <c r="E234" s="12">
        <v>0</v>
      </c>
      <c r="F234" s="12">
        <v>2</v>
      </c>
      <c r="G234" s="14"/>
      <c r="H234" s="63" t="s">
        <v>147</v>
      </c>
      <c r="I234" s="14" t="s">
        <v>301</v>
      </c>
      <c r="J234" s="1">
        <v>0</v>
      </c>
      <c r="K234" s="1">
        <v>0</v>
      </c>
      <c r="L234" s="1">
        <v>7</v>
      </c>
      <c r="M234" s="189">
        <v>9</v>
      </c>
      <c r="N234" s="215">
        <v>9</v>
      </c>
      <c r="O234" s="215">
        <v>9</v>
      </c>
      <c r="P234" s="215">
        <v>9</v>
      </c>
      <c r="Q234" s="215">
        <v>9</v>
      </c>
      <c r="R234" s="215">
        <v>9</v>
      </c>
      <c r="S234" s="215">
        <v>9</v>
      </c>
      <c r="T234" s="215">
        <v>9</v>
      </c>
      <c r="U234" s="215">
        <v>9</v>
      </c>
      <c r="V234" s="260">
        <f>J234+K234+L234+M234+O234+Q234+T234+S234+U234</f>
        <v>61</v>
      </c>
      <c r="W234" s="305">
        <v>2024</v>
      </c>
      <c r="X234" s="40">
        <f t="shared" si="66"/>
        <v>0</v>
      </c>
      <c r="Y234" s="40">
        <f t="shared" si="67"/>
        <v>0</v>
      </c>
      <c r="Z234" s="40">
        <f t="shared" si="68"/>
        <v>0</v>
      </c>
    </row>
    <row r="235" spans="1:26" ht="38.25">
      <c r="A235" s="38" t="s">
        <v>272</v>
      </c>
      <c r="B235" s="2">
        <v>1</v>
      </c>
      <c r="C235" s="2">
        <v>2</v>
      </c>
      <c r="D235" s="2">
        <v>0</v>
      </c>
      <c r="E235" s="2">
        <v>0</v>
      </c>
      <c r="F235" s="2">
        <v>0</v>
      </c>
      <c r="G235" s="2"/>
      <c r="H235" s="39" t="s">
        <v>143</v>
      </c>
      <c r="I235" s="2" t="s">
        <v>273</v>
      </c>
      <c r="J235" s="4">
        <f>J236+J237+J238</f>
        <v>31048.7</v>
      </c>
      <c r="K235" s="4">
        <f aca="true" t="shared" si="76" ref="K235:Q235">K236+K237</f>
        <v>84146.3</v>
      </c>
      <c r="L235" s="4">
        <f t="shared" si="76"/>
        <v>158635.7</v>
      </c>
      <c r="M235" s="155">
        <f t="shared" si="76"/>
        <v>255566.6</v>
      </c>
      <c r="N235" s="206">
        <f t="shared" si="76"/>
        <v>128832.3</v>
      </c>
      <c r="O235" s="206">
        <f t="shared" si="76"/>
        <v>157045.7</v>
      </c>
      <c r="P235" s="206">
        <f t="shared" si="76"/>
        <v>100604.7</v>
      </c>
      <c r="Q235" s="206">
        <f t="shared" si="76"/>
        <v>100604.7</v>
      </c>
      <c r="R235" s="206">
        <f>R236+R237+R238</f>
        <v>109643</v>
      </c>
      <c r="S235" s="206">
        <f>S236+S237+S238</f>
        <v>109643</v>
      </c>
      <c r="T235" s="206">
        <f>T236+T237+T238</f>
        <v>109643</v>
      </c>
      <c r="U235" s="206">
        <f>U236+U237+U238</f>
        <v>109643</v>
      </c>
      <c r="V235" s="228">
        <f aca="true" t="shared" si="77" ref="V235:V241">J235+K235+L235+M235+O235+Q235+S235+T235+U235</f>
        <v>1115976.7</v>
      </c>
      <c r="W235" s="304">
        <v>2024</v>
      </c>
      <c r="X235" s="40">
        <f t="shared" si="66"/>
        <v>28213.4</v>
      </c>
      <c r="Y235" s="40">
        <f t="shared" si="67"/>
        <v>0</v>
      </c>
      <c r="Z235" s="40">
        <f t="shared" si="68"/>
        <v>0</v>
      </c>
    </row>
    <row r="236" spans="1:27" s="50" customFormat="1" ht="12.75">
      <c r="A236" s="36" t="s">
        <v>272</v>
      </c>
      <c r="B236" s="12">
        <v>1</v>
      </c>
      <c r="C236" s="12">
        <v>2</v>
      </c>
      <c r="D236" s="12">
        <v>0</v>
      </c>
      <c r="E236" s="12">
        <v>0</v>
      </c>
      <c r="F236" s="12">
        <v>0</v>
      </c>
      <c r="G236" s="12">
        <v>3</v>
      </c>
      <c r="H236" s="42" t="s">
        <v>274</v>
      </c>
      <c r="I236" s="12" t="s">
        <v>273</v>
      </c>
      <c r="J236" s="19">
        <f aca="true" t="shared" si="78" ref="J236:U236">J240+J258+J279</f>
        <v>23599</v>
      </c>
      <c r="K236" s="19">
        <f t="shared" si="78"/>
        <v>82096.2</v>
      </c>
      <c r="L236" s="19">
        <f t="shared" si="78"/>
        <v>155984.5</v>
      </c>
      <c r="M236" s="158">
        <f t="shared" si="78"/>
        <v>237219.9</v>
      </c>
      <c r="N236" s="209">
        <f t="shared" si="78"/>
        <v>128832.3</v>
      </c>
      <c r="O236" s="209">
        <f t="shared" si="78"/>
        <v>147045.7</v>
      </c>
      <c r="P236" s="209">
        <f>P240+P258+P279</f>
        <v>100604.7</v>
      </c>
      <c r="Q236" s="209">
        <f>Q240+Q258+Q279</f>
        <v>100604.7</v>
      </c>
      <c r="R236" s="209">
        <f>R240+R258+R279</f>
        <v>109643</v>
      </c>
      <c r="S236" s="209">
        <f t="shared" si="78"/>
        <v>109643</v>
      </c>
      <c r="T236" s="209">
        <f t="shared" si="78"/>
        <v>109643</v>
      </c>
      <c r="U236" s="209">
        <f t="shared" si="78"/>
        <v>109643</v>
      </c>
      <c r="V236" s="259">
        <f t="shared" si="77"/>
        <v>1075479</v>
      </c>
      <c r="W236" s="303">
        <v>2024</v>
      </c>
      <c r="X236" s="40">
        <f t="shared" si="66"/>
        <v>18213.4</v>
      </c>
      <c r="Y236" s="40">
        <f t="shared" si="67"/>
        <v>0</v>
      </c>
      <c r="Z236" s="40">
        <f t="shared" si="68"/>
        <v>0</v>
      </c>
      <c r="AA236" s="37"/>
    </row>
    <row r="237" spans="1:27" s="50" customFormat="1" ht="12.75">
      <c r="A237" s="36" t="s">
        <v>272</v>
      </c>
      <c r="B237" s="12">
        <v>1</v>
      </c>
      <c r="C237" s="12">
        <v>2</v>
      </c>
      <c r="D237" s="12">
        <v>0</v>
      </c>
      <c r="E237" s="12">
        <v>0</v>
      </c>
      <c r="F237" s="12">
        <v>0</v>
      </c>
      <c r="G237" s="12">
        <v>2</v>
      </c>
      <c r="H237" s="42" t="s">
        <v>275</v>
      </c>
      <c r="I237" s="12" t="s">
        <v>273</v>
      </c>
      <c r="J237" s="19">
        <f aca="true" t="shared" si="79" ref="J237:U237">J241+J280</f>
        <v>5966.4</v>
      </c>
      <c r="K237" s="19">
        <f t="shared" si="79"/>
        <v>2050.1</v>
      </c>
      <c r="L237" s="19">
        <f t="shared" si="79"/>
        <v>2651.2</v>
      </c>
      <c r="M237" s="158">
        <f>M241+M280+M259</f>
        <v>18346.7</v>
      </c>
      <c r="N237" s="209">
        <f>N241+N280</f>
        <v>0</v>
      </c>
      <c r="O237" s="209">
        <f>O241+O280</f>
        <v>10000</v>
      </c>
      <c r="P237" s="209">
        <f>P241+P280</f>
        <v>0</v>
      </c>
      <c r="Q237" s="209">
        <f t="shared" si="79"/>
        <v>0</v>
      </c>
      <c r="R237" s="209">
        <f t="shared" si="79"/>
        <v>0</v>
      </c>
      <c r="S237" s="209">
        <f t="shared" si="79"/>
        <v>0</v>
      </c>
      <c r="T237" s="209">
        <f t="shared" si="79"/>
        <v>0</v>
      </c>
      <c r="U237" s="209">
        <f t="shared" si="79"/>
        <v>0</v>
      </c>
      <c r="V237" s="259">
        <f t="shared" si="77"/>
        <v>39014.4</v>
      </c>
      <c r="W237" s="311">
        <v>2019</v>
      </c>
      <c r="X237" s="40">
        <f t="shared" si="66"/>
        <v>10000</v>
      </c>
      <c r="Y237" s="40">
        <f t="shared" si="67"/>
        <v>0</v>
      </c>
      <c r="Z237" s="40">
        <f t="shared" si="68"/>
        <v>0</v>
      </c>
      <c r="AA237" s="37"/>
    </row>
    <row r="238" spans="1:27" s="50" customFormat="1" ht="12.75">
      <c r="A238" s="36" t="s">
        <v>272</v>
      </c>
      <c r="B238" s="12">
        <v>1</v>
      </c>
      <c r="C238" s="12">
        <v>2</v>
      </c>
      <c r="D238" s="12">
        <v>0</v>
      </c>
      <c r="E238" s="12">
        <v>0</v>
      </c>
      <c r="F238" s="12">
        <v>0</v>
      </c>
      <c r="G238" s="12">
        <v>1</v>
      </c>
      <c r="H238" s="42" t="s">
        <v>276</v>
      </c>
      <c r="I238" s="12" t="s">
        <v>273</v>
      </c>
      <c r="J238" s="19">
        <f>J281</f>
        <v>1483.3</v>
      </c>
      <c r="K238" s="19">
        <v>0</v>
      </c>
      <c r="L238" s="19">
        <v>0</v>
      </c>
      <c r="M238" s="158">
        <v>0</v>
      </c>
      <c r="N238" s="209">
        <v>0</v>
      </c>
      <c r="O238" s="209">
        <v>0</v>
      </c>
      <c r="P238" s="209">
        <v>0</v>
      </c>
      <c r="Q238" s="209">
        <v>0</v>
      </c>
      <c r="R238" s="209">
        <f>R281</f>
        <v>0</v>
      </c>
      <c r="S238" s="209">
        <f>S281</f>
        <v>0</v>
      </c>
      <c r="T238" s="209">
        <f>T281</f>
        <v>0</v>
      </c>
      <c r="U238" s="209">
        <f>U281</f>
        <v>0</v>
      </c>
      <c r="V238" s="259">
        <f t="shared" si="77"/>
        <v>1483.3</v>
      </c>
      <c r="W238" s="303">
        <v>2016</v>
      </c>
      <c r="X238" s="40">
        <f t="shared" si="66"/>
        <v>0</v>
      </c>
      <c r="Y238" s="40">
        <f t="shared" si="67"/>
        <v>0</v>
      </c>
      <c r="Z238" s="40">
        <f t="shared" si="68"/>
        <v>0</v>
      </c>
      <c r="AA238" s="37"/>
    </row>
    <row r="239" spans="1:27" s="50" customFormat="1" ht="51">
      <c r="A239" s="65" t="s">
        <v>272</v>
      </c>
      <c r="B239" s="11">
        <v>1</v>
      </c>
      <c r="C239" s="11">
        <v>2</v>
      </c>
      <c r="D239" s="11">
        <v>1</v>
      </c>
      <c r="E239" s="11">
        <v>0</v>
      </c>
      <c r="F239" s="11">
        <v>0</v>
      </c>
      <c r="G239" s="11"/>
      <c r="H239" s="49" t="s">
        <v>18</v>
      </c>
      <c r="I239" s="11" t="s">
        <v>273</v>
      </c>
      <c r="J239" s="10">
        <f aca="true" t="shared" si="80" ref="J239:U239">J240+J241</f>
        <v>0</v>
      </c>
      <c r="K239" s="10">
        <f t="shared" si="80"/>
        <v>490</v>
      </c>
      <c r="L239" s="10">
        <f t="shared" si="80"/>
        <v>14301</v>
      </c>
      <c r="M239" s="161">
        <f t="shared" si="80"/>
        <v>11757.6</v>
      </c>
      <c r="N239" s="218">
        <f t="shared" si="80"/>
        <v>14467</v>
      </c>
      <c r="O239" s="218">
        <f t="shared" si="80"/>
        <v>17914.4</v>
      </c>
      <c r="P239" s="218">
        <f t="shared" si="80"/>
        <v>13649</v>
      </c>
      <c r="Q239" s="218">
        <f t="shared" si="80"/>
        <v>13649</v>
      </c>
      <c r="R239" s="218">
        <f t="shared" si="80"/>
        <v>9757.8</v>
      </c>
      <c r="S239" s="218">
        <f t="shared" si="80"/>
        <v>9757.8</v>
      </c>
      <c r="T239" s="218">
        <f t="shared" si="80"/>
        <v>0</v>
      </c>
      <c r="U239" s="218">
        <f t="shared" si="80"/>
        <v>0</v>
      </c>
      <c r="V239" s="218">
        <f t="shared" si="77"/>
        <v>67869.8</v>
      </c>
      <c r="W239" s="306">
        <v>2022</v>
      </c>
      <c r="X239" s="40">
        <f t="shared" si="66"/>
        <v>3447.4</v>
      </c>
      <c r="Y239" s="40">
        <f t="shared" si="67"/>
        <v>0</v>
      </c>
      <c r="Z239" s="40">
        <f t="shared" si="68"/>
        <v>0</v>
      </c>
      <c r="AA239" s="37"/>
    </row>
    <row r="240" spans="1:27" s="50" customFormat="1" ht="12.75">
      <c r="A240" s="36" t="s">
        <v>272</v>
      </c>
      <c r="B240" s="12">
        <v>1</v>
      </c>
      <c r="C240" s="12">
        <v>2</v>
      </c>
      <c r="D240" s="12">
        <v>1</v>
      </c>
      <c r="E240" s="12">
        <v>0</v>
      </c>
      <c r="F240" s="12">
        <v>0</v>
      </c>
      <c r="G240" s="12">
        <v>3</v>
      </c>
      <c r="H240" s="42" t="s">
        <v>274</v>
      </c>
      <c r="I240" s="12" t="s">
        <v>273</v>
      </c>
      <c r="J240" s="5">
        <f aca="true" t="shared" si="81" ref="J240:U240">J247+J252</f>
        <v>0</v>
      </c>
      <c r="K240" s="5">
        <f t="shared" si="81"/>
        <v>490</v>
      </c>
      <c r="L240" s="5">
        <f t="shared" si="81"/>
        <v>13801</v>
      </c>
      <c r="M240" s="160">
        <f t="shared" si="81"/>
        <v>9257.6</v>
      </c>
      <c r="N240" s="214">
        <f t="shared" si="81"/>
        <v>14467</v>
      </c>
      <c r="O240" s="214">
        <f t="shared" si="81"/>
        <v>17914.4</v>
      </c>
      <c r="P240" s="214">
        <f>P247+P252</f>
        <v>13649</v>
      </c>
      <c r="Q240" s="214">
        <f>Q247+Q252</f>
        <v>13649</v>
      </c>
      <c r="R240" s="214">
        <f>R247+R252</f>
        <v>9757.8</v>
      </c>
      <c r="S240" s="214">
        <f t="shared" si="81"/>
        <v>9757.8</v>
      </c>
      <c r="T240" s="214">
        <f t="shared" si="81"/>
        <v>0</v>
      </c>
      <c r="U240" s="214">
        <f t="shared" si="81"/>
        <v>0</v>
      </c>
      <c r="V240" s="217">
        <f t="shared" si="77"/>
        <v>64869.8</v>
      </c>
      <c r="W240" s="311">
        <v>2022</v>
      </c>
      <c r="X240" s="40">
        <f t="shared" si="66"/>
        <v>3447.4</v>
      </c>
      <c r="Y240" s="40">
        <f t="shared" si="67"/>
        <v>0</v>
      </c>
      <c r="Z240" s="40">
        <f t="shared" si="68"/>
        <v>0</v>
      </c>
      <c r="AA240" s="37"/>
    </row>
    <row r="241" spans="1:27" s="50" customFormat="1" ht="12.75">
      <c r="A241" s="36" t="s">
        <v>272</v>
      </c>
      <c r="B241" s="12">
        <v>1</v>
      </c>
      <c r="C241" s="12">
        <v>2</v>
      </c>
      <c r="D241" s="12">
        <v>1</v>
      </c>
      <c r="E241" s="12">
        <v>0</v>
      </c>
      <c r="F241" s="12">
        <v>0</v>
      </c>
      <c r="G241" s="12">
        <v>2</v>
      </c>
      <c r="H241" s="42" t="s">
        <v>275</v>
      </c>
      <c r="I241" s="12" t="s">
        <v>273</v>
      </c>
      <c r="J241" s="5">
        <f aca="true" t="shared" si="82" ref="J241:O241">J248</f>
        <v>0</v>
      </c>
      <c r="K241" s="5">
        <f t="shared" si="82"/>
        <v>0</v>
      </c>
      <c r="L241" s="5">
        <f t="shared" si="82"/>
        <v>500</v>
      </c>
      <c r="M241" s="160">
        <f t="shared" si="82"/>
        <v>2500</v>
      </c>
      <c r="N241" s="214">
        <f t="shared" si="82"/>
        <v>0</v>
      </c>
      <c r="O241" s="214">
        <f t="shared" si="82"/>
        <v>0</v>
      </c>
      <c r="P241" s="214">
        <v>0</v>
      </c>
      <c r="Q241" s="214">
        <v>0</v>
      </c>
      <c r="R241" s="214">
        <f>R248</f>
        <v>0</v>
      </c>
      <c r="S241" s="214">
        <f>S248</f>
        <v>0</v>
      </c>
      <c r="T241" s="214">
        <f>T248</f>
        <v>0</v>
      </c>
      <c r="U241" s="214">
        <f>U248</f>
        <v>0</v>
      </c>
      <c r="V241" s="217">
        <f t="shared" si="77"/>
        <v>3000</v>
      </c>
      <c r="W241" s="311">
        <v>2018</v>
      </c>
      <c r="X241" s="40">
        <f t="shared" si="66"/>
        <v>0</v>
      </c>
      <c r="Y241" s="40">
        <f t="shared" si="67"/>
        <v>0</v>
      </c>
      <c r="Z241" s="40">
        <f t="shared" si="68"/>
        <v>0</v>
      </c>
      <c r="AA241" s="37"/>
    </row>
    <row r="242" spans="1:26" ht="51">
      <c r="A242" s="36" t="s">
        <v>272</v>
      </c>
      <c r="B242" s="12">
        <v>1</v>
      </c>
      <c r="C242" s="12">
        <v>2</v>
      </c>
      <c r="D242" s="12">
        <v>1</v>
      </c>
      <c r="E242" s="12">
        <v>0</v>
      </c>
      <c r="F242" s="12">
        <v>0</v>
      </c>
      <c r="G242" s="14"/>
      <c r="H242" s="63" t="s">
        <v>71</v>
      </c>
      <c r="I242" s="14" t="s">
        <v>278</v>
      </c>
      <c r="J242" s="13">
        <v>26.5</v>
      </c>
      <c r="K242" s="13">
        <v>31.3</v>
      </c>
      <c r="L242" s="167">
        <v>43.3</v>
      </c>
      <c r="M242" s="159">
        <v>60.9</v>
      </c>
      <c r="N242" s="242">
        <v>67.2</v>
      </c>
      <c r="O242" s="242">
        <v>67.2</v>
      </c>
      <c r="P242" s="242">
        <v>70.3</v>
      </c>
      <c r="Q242" s="242">
        <v>70.3</v>
      </c>
      <c r="R242" s="242">
        <v>71.9</v>
      </c>
      <c r="S242" s="242">
        <v>71.9</v>
      </c>
      <c r="T242" s="242">
        <v>71.9</v>
      </c>
      <c r="U242" s="242">
        <v>71.9</v>
      </c>
      <c r="V242" s="309">
        <f>U242</f>
        <v>71.9</v>
      </c>
      <c r="W242" s="312">
        <v>2024</v>
      </c>
      <c r="X242" s="40">
        <f t="shared" si="66"/>
        <v>0</v>
      </c>
      <c r="Y242" s="40">
        <f t="shared" si="67"/>
        <v>0</v>
      </c>
      <c r="Z242" s="40">
        <f t="shared" si="68"/>
        <v>0</v>
      </c>
    </row>
    <row r="243" spans="1:26" ht="38.25">
      <c r="A243" s="36" t="s">
        <v>272</v>
      </c>
      <c r="B243" s="12">
        <v>1</v>
      </c>
      <c r="C243" s="12">
        <v>2</v>
      </c>
      <c r="D243" s="12">
        <v>1</v>
      </c>
      <c r="E243" s="12">
        <v>0</v>
      </c>
      <c r="F243" s="12">
        <v>0</v>
      </c>
      <c r="G243" s="14"/>
      <c r="H243" s="63" t="s">
        <v>344</v>
      </c>
      <c r="I243" s="14" t="s">
        <v>278</v>
      </c>
      <c r="J243" s="9">
        <v>65</v>
      </c>
      <c r="K243" s="9">
        <v>64.5</v>
      </c>
      <c r="L243" s="167">
        <v>64</v>
      </c>
      <c r="M243" s="141">
        <v>63.5</v>
      </c>
      <c r="N243" s="210">
        <v>63</v>
      </c>
      <c r="O243" s="210">
        <v>63</v>
      </c>
      <c r="P243" s="210">
        <v>62.5</v>
      </c>
      <c r="Q243" s="210">
        <v>62.5</v>
      </c>
      <c r="R243" s="210">
        <v>62</v>
      </c>
      <c r="S243" s="210">
        <v>62</v>
      </c>
      <c r="T243" s="210">
        <v>61.6</v>
      </c>
      <c r="U243" s="210">
        <v>60.9</v>
      </c>
      <c r="V243" s="309">
        <f>U243</f>
        <v>60.9</v>
      </c>
      <c r="W243" s="312">
        <v>2024</v>
      </c>
      <c r="X243" s="40">
        <f t="shared" si="66"/>
        <v>0</v>
      </c>
      <c r="Y243" s="40">
        <f t="shared" si="67"/>
        <v>0</v>
      </c>
      <c r="Z243" s="40">
        <f t="shared" si="68"/>
        <v>0</v>
      </c>
    </row>
    <row r="244" spans="1:26" ht="51">
      <c r="A244" s="51" t="s">
        <v>272</v>
      </c>
      <c r="B244" s="17">
        <v>1</v>
      </c>
      <c r="C244" s="17">
        <v>2</v>
      </c>
      <c r="D244" s="17">
        <v>1</v>
      </c>
      <c r="E244" s="17">
        <v>0</v>
      </c>
      <c r="F244" s="17">
        <v>1</v>
      </c>
      <c r="G244" s="20"/>
      <c r="H244" s="52" t="s">
        <v>238</v>
      </c>
      <c r="I244" s="20" t="s">
        <v>297</v>
      </c>
      <c r="J244" s="23" t="s">
        <v>353</v>
      </c>
      <c r="K244" s="23" t="s">
        <v>298</v>
      </c>
      <c r="L244" s="23" t="s">
        <v>298</v>
      </c>
      <c r="M244" s="145" t="s">
        <v>298</v>
      </c>
      <c r="N244" s="219" t="s">
        <v>298</v>
      </c>
      <c r="O244" s="213" t="s">
        <v>298</v>
      </c>
      <c r="P244" s="219" t="s">
        <v>298</v>
      </c>
      <c r="Q244" s="213" t="s">
        <v>298</v>
      </c>
      <c r="R244" s="219" t="s">
        <v>298</v>
      </c>
      <c r="S244" s="213" t="s">
        <v>298</v>
      </c>
      <c r="T244" s="213" t="s">
        <v>298</v>
      </c>
      <c r="U244" s="213" t="s">
        <v>298</v>
      </c>
      <c r="V244" s="230" t="s">
        <v>298</v>
      </c>
      <c r="W244" s="307">
        <v>2024</v>
      </c>
      <c r="X244" s="40"/>
      <c r="Y244" s="40"/>
      <c r="Z244" s="40"/>
    </row>
    <row r="245" spans="1:26" ht="76.5">
      <c r="A245" s="36" t="s">
        <v>272</v>
      </c>
      <c r="B245" s="12">
        <v>1</v>
      </c>
      <c r="C245" s="12">
        <v>2</v>
      </c>
      <c r="D245" s="12">
        <v>1</v>
      </c>
      <c r="E245" s="12">
        <v>0</v>
      </c>
      <c r="F245" s="12">
        <v>1</v>
      </c>
      <c r="G245" s="14"/>
      <c r="H245" s="63" t="s">
        <v>59</v>
      </c>
      <c r="I245" s="14" t="s">
        <v>312</v>
      </c>
      <c r="J245" s="24">
        <v>0</v>
      </c>
      <c r="K245" s="24">
        <v>1</v>
      </c>
      <c r="L245" s="24">
        <v>1</v>
      </c>
      <c r="M245" s="162">
        <v>1</v>
      </c>
      <c r="N245" s="220">
        <v>1</v>
      </c>
      <c r="O245" s="220">
        <v>1</v>
      </c>
      <c r="P245" s="220">
        <v>1</v>
      </c>
      <c r="Q245" s="220">
        <v>1</v>
      </c>
      <c r="R245" s="220">
        <v>1</v>
      </c>
      <c r="S245" s="220">
        <v>1</v>
      </c>
      <c r="T245" s="220">
        <v>1</v>
      </c>
      <c r="U245" s="220">
        <v>1</v>
      </c>
      <c r="V245" s="315">
        <f aca="true" t="shared" si="83" ref="V245:V259">J245+K245+L245+M245+O245+Q245+S245+T245+U245</f>
        <v>8</v>
      </c>
      <c r="W245" s="312">
        <v>2024</v>
      </c>
      <c r="X245" s="40">
        <f t="shared" si="66"/>
        <v>0</v>
      </c>
      <c r="Y245" s="40">
        <f t="shared" si="67"/>
        <v>0</v>
      </c>
      <c r="Z245" s="40">
        <f t="shared" si="68"/>
        <v>0</v>
      </c>
    </row>
    <row r="246" spans="1:27" s="50" customFormat="1" ht="25.5">
      <c r="A246" s="51" t="s">
        <v>272</v>
      </c>
      <c r="B246" s="17">
        <v>1</v>
      </c>
      <c r="C246" s="17">
        <v>2</v>
      </c>
      <c r="D246" s="17">
        <v>1</v>
      </c>
      <c r="E246" s="17">
        <v>0</v>
      </c>
      <c r="F246" s="17">
        <v>2</v>
      </c>
      <c r="G246" s="17"/>
      <c r="H246" s="53" t="s">
        <v>107</v>
      </c>
      <c r="I246" s="17" t="s">
        <v>273</v>
      </c>
      <c r="J246" s="7">
        <f>J247+J248</f>
        <v>0</v>
      </c>
      <c r="K246" s="7">
        <f>K247+K248</f>
        <v>0</v>
      </c>
      <c r="L246" s="7">
        <f>L247+L248</f>
        <v>5642.1</v>
      </c>
      <c r="M246" s="148">
        <f>M247+M248</f>
        <v>8168.8</v>
      </c>
      <c r="N246" s="213">
        <f>N247</f>
        <v>10797</v>
      </c>
      <c r="O246" s="213">
        <f aca="true" t="shared" si="84" ref="O246:U246">O247</f>
        <v>14244.4</v>
      </c>
      <c r="P246" s="213">
        <f t="shared" si="84"/>
        <v>10797</v>
      </c>
      <c r="Q246" s="213">
        <f t="shared" si="84"/>
        <v>10797</v>
      </c>
      <c r="R246" s="213">
        <f t="shared" si="84"/>
        <v>9757.8</v>
      </c>
      <c r="S246" s="213">
        <f t="shared" si="84"/>
        <v>9757.8</v>
      </c>
      <c r="T246" s="213">
        <f t="shared" si="84"/>
        <v>0</v>
      </c>
      <c r="U246" s="213">
        <f t="shared" si="84"/>
        <v>0</v>
      </c>
      <c r="V246" s="216">
        <f t="shared" si="83"/>
        <v>48610.1</v>
      </c>
      <c r="W246" s="308">
        <v>2022</v>
      </c>
      <c r="X246" s="40">
        <f t="shared" si="66"/>
        <v>3447.4</v>
      </c>
      <c r="Y246" s="40">
        <f t="shared" si="67"/>
        <v>0</v>
      </c>
      <c r="Z246" s="40">
        <f t="shared" si="68"/>
        <v>0</v>
      </c>
      <c r="AA246" s="37"/>
    </row>
    <row r="247" spans="1:27" s="50" customFormat="1" ht="12.75">
      <c r="A247" s="36" t="s">
        <v>272</v>
      </c>
      <c r="B247" s="12">
        <v>1</v>
      </c>
      <c r="C247" s="12">
        <v>2</v>
      </c>
      <c r="D247" s="12">
        <v>1</v>
      </c>
      <c r="E247" s="12">
        <v>0</v>
      </c>
      <c r="F247" s="12">
        <v>2</v>
      </c>
      <c r="G247" s="12">
        <v>3</v>
      </c>
      <c r="H247" s="42" t="s">
        <v>274</v>
      </c>
      <c r="I247" s="12" t="s">
        <v>273</v>
      </c>
      <c r="J247" s="5">
        <v>0</v>
      </c>
      <c r="K247" s="5">
        <v>0</v>
      </c>
      <c r="L247" s="5">
        <v>5142.1</v>
      </c>
      <c r="M247" s="160">
        <v>5668.8</v>
      </c>
      <c r="N247" s="214">
        <v>10797</v>
      </c>
      <c r="O247" s="214">
        <v>14244.4</v>
      </c>
      <c r="P247" s="214">
        <v>10797</v>
      </c>
      <c r="Q247" s="214">
        <v>10797</v>
      </c>
      <c r="R247" s="214">
        <v>9757.8</v>
      </c>
      <c r="S247" s="214">
        <v>9757.8</v>
      </c>
      <c r="T247" s="214">
        <v>0</v>
      </c>
      <c r="U247" s="214">
        <v>0</v>
      </c>
      <c r="V247" s="217">
        <f t="shared" si="83"/>
        <v>45610.1</v>
      </c>
      <c r="W247" s="311">
        <v>2022</v>
      </c>
      <c r="X247" s="40">
        <f t="shared" si="66"/>
        <v>3447.4</v>
      </c>
      <c r="Y247" s="40">
        <f t="shared" si="67"/>
        <v>0</v>
      </c>
      <c r="Z247" s="40">
        <f t="shared" si="68"/>
        <v>0</v>
      </c>
      <c r="AA247" s="37"/>
    </row>
    <row r="248" spans="1:27" s="50" customFormat="1" ht="12.75">
      <c r="A248" s="36" t="s">
        <v>272</v>
      </c>
      <c r="B248" s="12">
        <v>1</v>
      </c>
      <c r="C248" s="12">
        <v>2</v>
      </c>
      <c r="D248" s="12">
        <v>1</v>
      </c>
      <c r="E248" s="12">
        <v>0</v>
      </c>
      <c r="F248" s="12">
        <v>2</v>
      </c>
      <c r="G248" s="12">
        <v>2</v>
      </c>
      <c r="H248" s="42" t="s">
        <v>275</v>
      </c>
      <c r="I248" s="12" t="s">
        <v>273</v>
      </c>
      <c r="J248" s="5">
        <v>0</v>
      </c>
      <c r="K248" s="5">
        <v>0</v>
      </c>
      <c r="L248" s="5">
        <v>500</v>
      </c>
      <c r="M248" s="160">
        <v>2500</v>
      </c>
      <c r="N248" s="214">
        <v>0</v>
      </c>
      <c r="O248" s="214">
        <v>0</v>
      </c>
      <c r="P248" s="214">
        <v>0</v>
      </c>
      <c r="Q248" s="214">
        <v>0</v>
      </c>
      <c r="R248" s="214"/>
      <c r="S248" s="214"/>
      <c r="T248" s="214"/>
      <c r="U248" s="214"/>
      <c r="V248" s="217">
        <f t="shared" si="83"/>
        <v>3000</v>
      </c>
      <c r="W248" s="311">
        <v>2018</v>
      </c>
      <c r="X248" s="40">
        <f t="shared" si="66"/>
        <v>0</v>
      </c>
      <c r="Y248" s="40">
        <f t="shared" si="67"/>
        <v>0</v>
      </c>
      <c r="Z248" s="40">
        <f t="shared" si="68"/>
        <v>0</v>
      </c>
      <c r="AA248" s="37"/>
    </row>
    <row r="249" spans="1:26" ht="25.5">
      <c r="A249" s="36" t="s">
        <v>272</v>
      </c>
      <c r="B249" s="12">
        <v>1</v>
      </c>
      <c r="C249" s="12">
        <v>2</v>
      </c>
      <c r="D249" s="12">
        <v>1</v>
      </c>
      <c r="E249" s="12">
        <v>0</v>
      </c>
      <c r="F249" s="12">
        <v>2</v>
      </c>
      <c r="G249" s="14"/>
      <c r="H249" s="58" t="s">
        <v>345</v>
      </c>
      <c r="I249" s="14" t="s">
        <v>312</v>
      </c>
      <c r="J249" s="8">
        <v>0</v>
      </c>
      <c r="K249" s="8">
        <v>0</v>
      </c>
      <c r="L249" s="8">
        <v>1</v>
      </c>
      <c r="M249" s="163">
        <v>4</v>
      </c>
      <c r="N249" s="215">
        <v>1</v>
      </c>
      <c r="O249" s="215">
        <v>2</v>
      </c>
      <c r="P249" s="215">
        <v>1</v>
      </c>
      <c r="Q249" s="215">
        <v>1</v>
      </c>
      <c r="R249" s="215">
        <v>1</v>
      </c>
      <c r="S249" s="215">
        <v>1</v>
      </c>
      <c r="T249" s="215">
        <v>0</v>
      </c>
      <c r="U249" s="215">
        <v>0</v>
      </c>
      <c r="V249" s="223">
        <f t="shared" si="83"/>
        <v>9</v>
      </c>
      <c r="W249" s="312">
        <v>2022</v>
      </c>
      <c r="X249" s="40">
        <f t="shared" si="66"/>
        <v>1</v>
      </c>
      <c r="Y249" s="40">
        <f t="shared" si="67"/>
        <v>0</v>
      </c>
      <c r="Z249" s="40">
        <f t="shared" si="68"/>
        <v>0</v>
      </c>
    </row>
    <row r="250" spans="1:26" ht="25.5">
      <c r="A250" s="36" t="s">
        <v>272</v>
      </c>
      <c r="B250" s="12">
        <v>1</v>
      </c>
      <c r="C250" s="12">
        <v>2</v>
      </c>
      <c r="D250" s="12">
        <v>1</v>
      </c>
      <c r="E250" s="12">
        <v>0</v>
      </c>
      <c r="F250" s="12">
        <v>2</v>
      </c>
      <c r="G250" s="14"/>
      <c r="H250" s="58" t="s">
        <v>346</v>
      </c>
      <c r="I250" s="14" t="s">
        <v>347</v>
      </c>
      <c r="J250" s="13">
        <v>0</v>
      </c>
      <c r="K250" s="13">
        <v>0</v>
      </c>
      <c r="L250" s="13">
        <v>1191.1</v>
      </c>
      <c r="M250" s="141">
        <v>1790</v>
      </c>
      <c r="N250" s="210">
        <v>1657</v>
      </c>
      <c r="O250" s="210">
        <v>3297</v>
      </c>
      <c r="P250" s="210">
        <v>1640</v>
      </c>
      <c r="Q250" s="210">
        <v>1640</v>
      </c>
      <c r="R250" s="210">
        <v>1640</v>
      </c>
      <c r="S250" s="210">
        <v>1640</v>
      </c>
      <c r="T250" s="210">
        <v>0</v>
      </c>
      <c r="U250" s="210">
        <v>0</v>
      </c>
      <c r="V250" s="221">
        <f t="shared" si="83"/>
        <v>9558.1</v>
      </c>
      <c r="W250" s="312">
        <v>2022</v>
      </c>
      <c r="X250" s="40">
        <f t="shared" si="66"/>
        <v>1640</v>
      </c>
      <c r="Y250" s="40">
        <f t="shared" si="67"/>
        <v>0</v>
      </c>
      <c r="Z250" s="40">
        <f t="shared" si="68"/>
        <v>0</v>
      </c>
    </row>
    <row r="251" spans="1:27" s="50" customFormat="1" ht="63.75">
      <c r="A251" s="51" t="s">
        <v>272</v>
      </c>
      <c r="B251" s="17">
        <v>1</v>
      </c>
      <c r="C251" s="17">
        <v>2</v>
      </c>
      <c r="D251" s="17">
        <v>1</v>
      </c>
      <c r="E251" s="17">
        <v>0</v>
      </c>
      <c r="F251" s="17">
        <v>3</v>
      </c>
      <c r="G251" s="17"/>
      <c r="H251" s="53" t="s">
        <v>108</v>
      </c>
      <c r="I251" s="17" t="s">
        <v>273</v>
      </c>
      <c r="J251" s="7">
        <f aca="true" t="shared" si="85" ref="J251:U251">J252</f>
        <v>0</v>
      </c>
      <c r="K251" s="7">
        <f t="shared" si="85"/>
        <v>490</v>
      </c>
      <c r="L251" s="7">
        <f t="shared" si="85"/>
        <v>8658.9</v>
      </c>
      <c r="M251" s="148">
        <f t="shared" si="85"/>
        <v>3588.8</v>
      </c>
      <c r="N251" s="213">
        <f t="shared" si="85"/>
        <v>3670</v>
      </c>
      <c r="O251" s="213">
        <f t="shared" si="85"/>
        <v>3670</v>
      </c>
      <c r="P251" s="213">
        <f t="shared" si="85"/>
        <v>2852</v>
      </c>
      <c r="Q251" s="213">
        <f t="shared" si="85"/>
        <v>2852</v>
      </c>
      <c r="R251" s="213">
        <f t="shared" si="85"/>
        <v>0</v>
      </c>
      <c r="S251" s="213">
        <f t="shared" si="85"/>
        <v>0</v>
      </c>
      <c r="T251" s="213">
        <f t="shared" si="85"/>
        <v>0</v>
      </c>
      <c r="U251" s="213">
        <f t="shared" si="85"/>
        <v>0</v>
      </c>
      <c r="V251" s="216">
        <f t="shared" si="83"/>
        <v>19259.7</v>
      </c>
      <c r="W251" s="308">
        <v>2021</v>
      </c>
      <c r="X251" s="40">
        <f t="shared" si="66"/>
        <v>0</v>
      </c>
      <c r="Y251" s="40">
        <f t="shared" si="67"/>
        <v>0</v>
      </c>
      <c r="Z251" s="40">
        <f t="shared" si="68"/>
        <v>0</v>
      </c>
      <c r="AA251" s="37"/>
    </row>
    <row r="252" spans="1:27" s="50" customFormat="1" ht="12.75">
      <c r="A252" s="36" t="s">
        <v>272</v>
      </c>
      <c r="B252" s="12">
        <v>1</v>
      </c>
      <c r="C252" s="12">
        <v>2</v>
      </c>
      <c r="D252" s="12">
        <v>1</v>
      </c>
      <c r="E252" s="12">
        <v>0</v>
      </c>
      <c r="F252" s="12">
        <v>3</v>
      </c>
      <c r="G252" s="12">
        <v>3</v>
      </c>
      <c r="H252" s="42" t="s">
        <v>274</v>
      </c>
      <c r="I252" s="12" t="s">
        <v>273</v>
      </c>
      <c r="J252" s="5">
        <v>0</v>
      </c>
      <c r="K252" s="5">
        <v>490</v>
      </c>
      <c r="L252" s="5">
        <v>8658.9</v>
      </c>
      <c r="M252" s="160">
        <v>3588.8</v>
      </c>
      <c r="N252" s="214">
        <v>3670</v>
      </c>
      <c r="O252" s="214">
        <v>3670</v>
      </c>
      <c r="P252" s="214">
        <v>2852</v>
      </c>
      <c r="Q252" s="214">
        <v>2852</v>
      </c>
      <c r="R252" s="214">
        <v>0</v>
      </c>
      <c r="S252" s="214">
        <v>0</v>
      </c>
      <c r="T252" s="214">
        <v>0</v>
      </c>
      <c r="U252" s="214">
        <v>0</v>
      </c>
      <c r="V252" s="217">
        <f t="shared" si="83"/>
        <v>19259.7</v>
      </c>
      <c r="W252" s="311">
        <v>2021</v>
      </c>
      <c r="X252" s="40">
        <f t="shared" si="66"/>
        <v>0</v>
      </c>
      <c r="Y252" s="40">
        <f t="shared" si="67"/>
        <v>0</v>
      </c>
      <c r="Z252" s="40">
        <f t="shared" si="68"/>
        <v>0</v>
      </c>
      <c r="AA252" s="37"/>
    </row>
    <row r="253" spans="1:26" ht="25.5">
      <c r="A253" s="36" t="s">
        <v>272</v>
      </c>
      <c r="B253" s="12">
        <v>1</v>
      </c>
      <c r="C253" s="12">
        <v>2</v>
      </c>
      <c r="D253" s="12">
        <v>1</v>
      </c>
      <c r="E253" s="12">
        <v>0</v>
      </c>
      <c r="F253" s="12">
        <v>3</v>
      </c>
      <c r="G253" s="14"/>
      <c r="H253" s="58" t="s">
        <v>348</v>
      </c>
      <c r="I253" s="14" t="s">
        <v>312</v>
      </c>
      <c r="J253" s="8">
        <v>0</v>
      </c>
      <c r="K253" s="8">
        <v>2</v>
      </c>
      <c r="L253" s="8">
        <f>1+38</f>
        <v>39</v>
      </c>
      <c r="M253" s="163">
        <v>18</v>
      </c>
      <c r="N253" s="215">
        <v>14</v>
      </c>
      <c r="O253" s="215">
        <v>14</v>
      </c>
      <c r="P253" s="215">
        <v>8</v>
      </c>
      <c r="Q253" s="215">
        <v>8</v>
      </c>
      <c r="R253" s="215">
        <v>0</v>
      </c>
      <c r="S253" s="215">
        <v>0</v>
      </c>
      <c r="T253" s="215">
        <v>0</v>
      </c>
      <c r="U253" s="215">
        <v>0</v>
      </c>
      <c r="V253" s="223">
        <f t="shared" si="83"/>
        <v>81</v>
      </c>
      <c r="W253" s="312">
        <v>2021</v>
      </c>
      <c r="X253" s="40">
        <f t="shared" si="66"/>
        <v>0</v>
      </c>
      <c r="Y253" s="40">
        <f t="shared" si="67"/>
        <v>0</v>
      </c>
      <c r="Z253" s="40">
        <f t="shared" si="68"/>
        <v>0</v>
      </c>
    </row>
    <row r="254" spans="1:26" ht="25.5">
      <c r="A254" s="36" t="s">
        <v>272</v>
      </c>
      <c r="B254" s="12">
        <v>1</v>
      </c>
      <c r="C254" s="12">
        <v>2</v>
      </c>
      <c r="D254" s="12">
        <v>1</v>
      </c>
      <c r="E254" s="12">
        <v>0</v>
      </c>
      <c r="F254" s="12">
        <v>3</v>
      </c>
      <c r="G254" s="14"/>
      <c r="H254" s="58" t="s">
        <v>349</v>
      </c>
      <c r="I254" s="14" t="s">
        <v>347</v>
      </c>
      <c r="J254" s="13">
        <v>0</v>
      </c>
      <c r="K254" s="13">
        <f>22.5*2</f>
        <v>45</v>
      </c>
      <c r="L254" s="13">
        <f>22.5*39</f>
        <v>877.5</v>
      </c>
      <c r="M254" s="159">
        <v>423.1</v>
      </c>
      <c r="N254" s="242">
        <v>315.6</v>
      </c>
      <c r="O254" s="242">
        <v>315.6</v>
      </c>
      <c r="P254" s="242">
        <v>180</v>
      </c>
      <c r="Q254" s="242">
        <v>180</v>
      </c>
      <c r="R254" s="242">
        <v>0</v>
      </c>
      <c r="S254" s="242">
        <v>0</v>
      </c>
      <c r="T254" s="242">
        <v>0</v>
      </c>
      <c r="U254" s="242">
        <v>0</v>
      </c>
      <c r="V254" s="221">
        <f t="shared" si="83"/>
        <v>1841.2</v>
      </c>
      <c r="W254" s="312">
        <v>2021</v>
      </c>
      <c r="X254" s="40">
        <f t="shared" si="66"/>
        <v>0</v>
      </c>
      <c r="Y254" s="40">
        <f t="shared" si="67"/>
        <v>0</v>
      </c>
      <c r="Z254" s="40">
        <f t="shared" si="68"/>
        <v>0</v>
      </c>
    </row>
    <row r="255" spans="1:26" ht="25.5">
      <c r="A255" s="36" t="s">
        <v>272</v>
      </c>
      <c r="B255" s="12">
        <v>1</v>
      </c>
      <c r="C255" s="12">
        <v>2</v>
      </c>
      <c r="D255" s="12">
        <v>1</v>
      </c>
      <c r="E255" s="12">
        <v>0</v>
      </c>
      <c r="F255" s="12">
        <v>3</v>
      </c>
      <c r="G255" s="14"/>
      <c r="H255" s="58" t="s">
        <v>232</v>
      </c>
      <c r="I255" s="14" t="s">
        <v>312</v>
      </c>
      <c r="J255" s="8">
        <v>0</v>
      </c>
      <c r="K255" s="8">
        <v>0</v>
      </c>
      <c r="L255" s="8">
        <v>0</v>
      </c>
      <c r="M255" s="163">
        <v>0</v>
      </c>
      <c r="N255" s="215">
        <v>0</v>
      </c>
      <c r="O255" s="215">
        <v>0</v>
      </c>
      <c r="P255" s="215">
        <v>0</v>
      </c>
      <c r="Q255" s="215">
        <v>0</v>
      </c>
      <c r="R255" s="215">
        <v>0</v>
      </c>
      <c r="S255" s="215">
        <v>0</v>
      </c>
      <c r="T255" s="215">
        <v>0</v>
      </c>
      <c r="U255" s="215">
        <v>0</v>
      </c>
      <c r="V255" s="223">
        <f t="shared" si="83"/>
        <v>0</v>
      </c>
      <c r="W255" s="312">
        <v>2021</v>
      </c>
      <c r="X255" s="40">
        <f t="shared" si="66"/>
        <v>0</v>
      </c>
      <c r="Y255" s="40">
        <f t="shared" si="67"/>
        <v>0</v>
      </c>
      <c r="Z255" s="40">
        <f t="shared" si="68"/>
        <v>0</v>
      </c>
    </row>
    <row r="256" spans="1:26" ht="25.5">
      <c r="A256" s="36" t="s">
        <v>272</v>
      </c>
      <c r="B256" s="12">
        <v>1</v>
      </c>
      <c r="C256" s="12">
        <v>2</v>
      </c>
      <c r="D256" s="12">
        <v>1</v>
      </c>
      <c r="E256" s="12">
        <v>0</v>
      </c>
      <c r="F256" s="12">
        <v>3</v>
      </c>
      <c r="G256" s="14"/>
      <c r="H256" s="58" t="s">
        <v>2</v>
      </c>
      <c r="I256" s="14" t="s">
        <v>312</v>
      </c>
      <c r="J256" s="8">
        <v>0</v>
      </c>
      <c r="K256" s="8">
        <v>0</v>
      </c>
      <c r="L256" s="8">
        <v>2</v>
      </c>
      <c r="M256" s="163">
        <v>0</v>
      </c>
      <c r="N256" s="215">
        <v>0</v>
      </c>
      <c r="O256" s="215">
        <v>0</v>
      </c>
      <c r="P256" s="215">
        <v>0</v>
      </c>
      <c r="Q256" s="215">
        <v>0</v>
      </c>
      <c r="R256" s="215">
        <v>0</v>
      </c>
      <c r="S256" s="215">
        <v>0</v>
      </c>
      <c r="T256" s="215">
        <v>0</v>
      </c>
      <c r="U256" s="215">
        <v>0</v>
      </c>
      <c r="V256" s="223">
        <f t="shared" si="83"/>
        <v>2</v>
      </c>
      <c r="W256" s="312">
        <v>2024</v>
      </c>
      <c r="X256" s="40">
        <f t="shared" si="66"/>
        <v>0</v>
      </c>
      <c r="Y256" s="40">
        <f t="shared" si="67"/>
        <v>0</v>
      </c>
      <c r="Z256" s="40">
        <f t="shared" si="68"/>
        <v>0</v>
      </c>
    </row>
    <row r="257" spans="1:27" s="50" customFormat="1" ht="38.25">
      <c r="A257" s="65" t="s">
        <v>272</v>
      </c>
      <c r="B257" s="11">
        <v>1</v>
      </c>
      <c r="C257" s="11">
        <v>2</v>
      </c>
      <c r="D257" s="11">
        <v>2</v>
      </c>
      <c r="E257" s="11">
        <v>0</v>
      </c>
      <c r="F257" s="11">
        <v>0</v>
      </c>
      <c r="G257" s="11"/>
      <c r="H257" s="49" t="s">
        <v>350</v>
      </c>
      <c r="I257" s="11" t="s">
        <v>273</v>
      </c>
      <c r="J257" s="10">
        <f aca="true" t="shared" si="86" ref="J257:U257">J258</f>
        <v>286.4</v>
      </c>
      <c r="K257" s="10">
        <f t="shared" si="86"/>
        <v>7296.9</v>
      </c>
      <c r="L257" s="10">
        <f t="shared" si="86"/>
        <v>5424.9</v>
      </c>
      <c r="M257" s="161">
        <f>M258+M259</f>
        <v>78748.2</v>
      </c>
      <c r="N257" s="218">
        <f>N258</f>
        <v>3579.9</v>
      </c>
      <c r="O257" s="218">
        <f t="shared" si="86"/>
        <v>16463</v>
      </c>
      <c r="P257" s="218">
        <f t="shared" si="86"/>
        <v>0</v>
      </c>
      <c r="Q257" s="218">
        <f t="shared" si="86"/>
        <v>0</v>
      </c>
      <c r="R257" s="218">
        <f t="shared" si="86"/>
        <v>0</v>
      </c>
      <c r="S257" s="218">
        <f t="shared" si="86"/>
        <v>0</v>
      </c>
      <c r="T257" s="218">
        <f>T258</f>
        <v>96683</v>
      </c>
      <c r="U257" s="218">
        <f t="shared" si="86"/>
        <v>99383</v>
      </c>
      <c r="V257" s="218">
        <f>J257+K257+L257+M257+O257+Q257+S257+T257+U257</f>
        <v>304285.4</v>
      </c>
      <c r="W257" s="306">
        <v>2020</v>
      </c>
      <c r="X257" s="40">
        <f t="shared" si="66"/>
        <v>12883.1</v>
      </c>
      <c r="Y257" s="40">
        <f t="shared" si="67"/>
        <v>0</v>
      </c>
      <c r="Z257" s="40">
        <f t="shared" si="68"/>
        <v>0</v>
      </c>
      <c r="AA257" s="37"/>
    </row>
    <row r="258" spans="1:27" s="50" customFormat="1" ht="12.75">
      <c r="A258" s="36" t="s">
        <v>272</v>
      </c>
      <c r="B258" s="12">
        <v>1</v>
      </c>
      <c r="C258" s="12">
        <v>2</v>
      </c>
      <c r="D258" s="12">
        <v>2</v>
      </c>
      <c r="E258" s="12">
        <v>0</v>
      </c>
      <c r="F258" s="12">
        <v>0</v>
      </c>
      <c r="G258" s="12">
        <v>3</v>
      </c>
      <c r="H258" s="42" t="s">
        <v>274</v>
      </c>
      <c r="I258" s="12" t="s">
        <v>273</v>
      </c>
      <c r="J258" s="5">
        <f aca="true" t="shared" si="87" ref="J258:S258">J268+J272</f>
        <v>286.4</v>
      </c>
      <c r="K258" s="5">
        <f t="shared" si="87"/>
        <v>7296.9</v>
      </c>
      <c r="L258" s="5">
        <f t="shared" si="87"/>
        <v>5424.9</v>
      </c>
      <c r="M258" s="160">
        <f t="shared" si="87"/>
        <v>72373</v>
      </c>
      <c r="N258" s="214">
        <f t="shared" si="87"/>
        <v>3579.9</v>
      </c>
      <c r="O258" s="214">
        <f t="shared" si="87"/>
        <v>16463</v>
      </c>
      <c r="P258" s="214">
        <f t="shared" si="87"/>
        <v>0</v>
      </c>
      <c r="Q258" s="214">
        <f t="shared" si="87"/>
        <v>0</v>
      </c>
      <c r="R258" s="210">
        <f t="shared" si="87"/>
        <v>0</v>
      </c>
      <c r="S258" s="214">
        <f t="shared" si="87"/>
        <v>0</v>
      </c>
      <c r="T258" s="214">
        <f>T268+T272+T276</f>
        <v>96683</v>
      </c>
      <c r="U258" s="214">
        <f>U268+U272+U276</f>
        <v>99383</v>
      </c>
      <c r="V258" s="217">
        <f t="shared" si="83"/>
        <v>297910.2</v>
      </c>
      <c r="W258" s="311">
        <v>2020</v>
      </c>
      <c r="X258" s="40">
        <f t="shared" si="66"/>
        <v>12883.1</v>
      </c>
      <c r="Y258" s="40">
        <f t="shared" si="67"/>
        <v>0</v>
      </c>
      <c r="Z258" s="40">
        <f t="shared" si="68"/>
        <v>0</v>
      </c>
      <c r="AA258" s="37"/>
    </row>
    <row r="259" spans="1:27" s="50" customFormat="1" ht="12.75">
      <c r="A259" s="36" t="s">
        <v>272</v>
      </c>
      <c r="B259" s="12">
        <v>1</v>
      </c>
      <c r="C259" s="12">
        <v>2</v>
      </c>
      <c r="D259" s="12">
        <v>2</v>
      </c>
      <c r="E259" s="12">
        <v>0</v>
      </c>
      <c r="F259" s="12">
        <v>0</v>
      </c>
      <c r="G259" s="12"/>
      <c r="H259" s="42" t="s">
        <v>275</v>
      </c>
      <c r="I259" s="12" t="s">
        <v>273</v>
      </c>
      <c r="J259" s="5"/>
      <c r="K259" s="5"/>
      <c r="L259" s="5"/>
      <c r="M259" s="160">
        <f>M273</f>
        <v>6375.2</v>
      </c>
      <c r="N259" s="214"/>
      <c r="O259" s="214"/>
      <c r="P259" s="214"/>
      <c r="Q259" s="214"/>
      <c r="R259" s="210"/>
      <c r="S259" s="210"/>
      <c r="T259" s="210"/>
      <c r="U259" s="210"/>
      <c r="V259" s="217">
        <f t="shared" si="83"/>
        <v>6375.2</v>
      </c>
      <c r="W259" s="311">
        <v>2019</v>
      </c>
      <c r="X259" s="40">
        <f t="shared" si="66"/>
        <v>0</v>
      </c>
      <c r="Y259" s="40">
        <f t="shared" si="67"/>
        <v>0</v>
      </c>
      <c r="Z259" s="40">
        <f t="shared" si="68"/>
        <v>0</v>
      </c>
      <c r="AA259" s="37"/>
    </row>
    <row r="260" spans="1:26" ht="38.25">
      <c r="A260" s="36" t="s">
        <v>272</v>
      </c>
      <c r="B260" s="12">
        <v>1</v>
      </c>
      <c r="C260" s="12">
        <v>2</v>
      </c>
      <c r="D260" s="12">
        <v>2</v>
      </c>
      <c r="E260" s="12">
        <v>0</v>
      </c>
      <c r="F260" s="12">
        <v>0</v>
      </c>
      <c r="G260" s="14"/>
      <c r="H260" s="63" t="s">
        <v>351</v>
      </c>
      <c r="I260" s="14" t="s">
        <v>278</v>
      </c>
      <c r="J260" s="112">
        <v>3.5</v>
      </c>
      <c r="K260" s="112">
        <v>3.5</v>
      </c>
      <c r="L260" s="167">
        <v>3.5</v>
      </c>
      <c r="M260" s="141">
        <v>2.8</v>
      </c>
      <c r="N260" s="210">
        <v>3.2</v>
      </c>
      <c r="O260" s="210">
        <v>3.2</v>
      </c>
      <c r="P260" s="210">
        <v>3.3</v>
      </c>
      <c r="Q260" s="210">
        <v>3.3</v>
      </c>
      <c r="R260" s="210">
        <v>3.4</v>
      </c>
      <c r="S260" s="210">
        <v>3.4</v>
      </c>
      <c r="T260" s="210">
        <v>12.8</v>
      </c>
      <c r="U260" s="210">
        <v>22.9</v>
      </c>
      <c r="V260" s="316">
        <f>U260</f>
        <v>22.9</v>
      </c>
      <c r="W260" s="312">
        <v>2024</v>
      </c>
      <c r="X260" s="40">
        <f t="shared" si="66"/>
        <v>0</v>
      </c>
      <c r="Y260" s="40">
        <f t="shared" si="67"/>
        <v>0</v>
      </c>
      <c r="Z260" s="40">
        <f t="shared" si="68"/>
        <v>0</v>
      </c>
    </row>
    <row r="261" spans="1:26" ht="63.75">
      <c r="A261" s="36" t="s">
        <v>272</v>
      </c>
      <c r="B261" s="12">
        <v>1</v>
      </c>
      <c r="C261" s="12">
        <v>2</v>
      </c>
      <c r="D261" s="12">
        <v>2</v>
      </c>
      <c r="E261" s="12">
        <v>0</v>
      </c>
      <c r="F261" s="12">
        <v>0</v>
      </c>
      <c r="G261" s="15"/>
      <c r="H261" s="72" t="s">
        <v>352</v>
      </c>
      <c r="I261" s="15" t="s">
        <v>278</v>
      </c>
      <c r="J261" s="168">
        <v>2.9</v>
      </c>
      <c r="K261" s="168">
        <v>10.4</v>
      </c>
      <c r="L261" s="167">
        <v>7.5</v>
      </c>
      <c r="M261" s="179">
        <v>32.8</v>
      </c>
      <c r="N261" s="245">
        <v>35.9</v>
      </c>
      <c r="O261" s="293">
        <v>39.1</v>
      </c>
      <c r="P261" s="245">
        <v>35.9</v>
      </c>
      <c r="Q261" s="293">
        <v>39.1</v>
      </c>
      <c r="R261" s="245">
        <v>35.9</v>
      </c>
      <c r="S261" s="293">
        <v>39.1</v>
      </c>
      <c r="T261" s="293">
        <v>39.1</v>
      </c>
      <c r="U261" s="293">
        <v>39.1</v>
      </c>
      <c r="V261" s="309">
        <f>U261</f>
        <v>39.1</v>
      </c>
      <c r="W261" s="317">
        <v>2024</v>
      </c>
      <c r="X261" s="40">
        <f t="shared" si="66"/>
        <v>3.2</v>
      </c>
      <c r="Y261" s="40">
        <f t="shared" si="67"/>
        <v>3.2</v>
      </c>
      <c r="Z261" s="40">
        <f t="shared" si="68"/>
        <v>3.2</v>
      </c>
    </row>
    <row r="262" spans="1:26" ht="51">
      <c r="A262" s="36" t="s">
        <v>272</v>
      </c>
      <c r="B262" s="12">
        <v>1</v>
      </c>
      <c r="C262" s="12">
        <v>2</v>
      </c>
      <c r="D262" s="12">
        <v>2</v>
      </c>
      <c r="E262" s="12">
        <v>0</v>
      </c>
      <c r="F262" s="12">
        <v>0</v>
      </c>
      <c r="G262" s="15"/>
      <c r="H262" s="193" t="s">
        <v>256</v>
      </c>
      <c r="I262" s="15" t="s">
        <v>278</v>
      </c>
      <c r="J262" s="168">
        <v>0</v>
      </c>
      <c r="K262" s="168">
        <v>0</v>
      </c>
      <c r="L262" s="167">
        <v>0</v>
      </c>
      <c r="M262" s="179">
        <v>0</v>
      </c>
      <c r="N262" s="245">
        <v>0</v>
      </c>
      <c r="O262" s="293">
        <v>0</v>
      </c>
      <c r="P262" s="245">
        <v>0</v>
      </c>
      <c r="Q262" s="293">
        <v>0</v>
      </c>
      <c r="R262" s="245">
        <v>0</v>
      </c>
      <c r="S262" s="293">
        <v>0</v>
      </c>
      <c r="T262" s="293">
        <v>1.6</v>
      </c>
      <c r="U262" s="293">
        <v>1.6</v>
      </c>
      <c r="V262" s="309">
        <f>U262</f>
        <v>1.6</v>
      </c>
      <c r="W262" s="317">
        <v>2024</v>
      </c>
      <c r="X262" s="40">
        <f t="shared" si="66"/>
        <v>0</v>
      </c>
      <c r="Y262" s="40">
        <f t="shared" si="67"/>
        <v>0</v>
      </c>
      <c r="Z262" s="40">
        <f t="shared" si="68"/>
        <v>0</v>
      </c>
    </row>
    <row r="263" spans="1:26" ht="102">
      <c r="A263" s="51" t="s">
        <v>272</v>
      </c>
      <c r="B263" s="17">
        <v>1</v>
      </c>
      <c r="C263" s="17">
        <v>2</v>
      </c>
      <c r="D263" s="17">
        <v>2</v>
      </c>
      <c r="E263" s="17">
        <v>0</v>
      </c>
      <c r="F263" s="17">
        <v>1</v>
      </c>
      <c r="G263" s="20"/>
      <c r="H263" s="52" t="s">
        <v>60</v>
      </c>
      <c r="I263" s="20" t="s">
        <v>297</v>
      </c>
      <c r="J263" s="23" t="s">
        <v>298</v>
      </c>
      <c r="K263" s="23" t="s">
        <v>298</v>
      </c>
      <c r="L263" s="23" t="s">
        <v>298</v>
      </c>
      <c r="M263" s="145" t="s">
        <v>298</v>
      </c>
      <c r="N263" s="219" t="s">
        <v>298</v>
      </c>
      <c r="O263" s="213" t="s">
        <v>298</v>
      </c>
      <c r="P263" s="219" t="s">
        <v>298</v>
      </c>
      <c r="Q263" s="213" t="s">
        <v>298</v>
      </c>
      <c r="R263" s="219" t="s">
        <v>298</v>
      </c>
      <c r="S263" s="213" t="s">
        <v>298</v>
      </c>
      <c r="T263" s="219" t="s">
        <v>298</v>
      </c>
      <c r="U263" s="219" t="s">
        <v>298</v>
      </c>
      <c r="V263" s="216" t="s">
        <v>298</v>
      </c>
      <c r="W263" s="307">
        <v>2024</v>
      </c>
      <c r="X263" s="40"/>
      <c r="Y263" s="40"/>
      <c r="Z263" s="40"/>
    </row>
    <row r="264" spans="1:26" ht="63" customHeight="1">
      <c r="A264" s="36" t="s">
        <v>272</v>
      </c>
      <c r="B264" s="12">
        <v>1</v>
      </c>
      <c r="C264" s="12">
        <v>2</v>
      </c>
      <c r="D264" s="12">
        <v>2</v>
      </c>
      <c r="E264" s="12">
        <v>0</v>
      </c>
      <c r="F264" s="12">
        <v>1</v>
      </c>
      <c r="G264" s="14"/>
      <c r="H264" s="58" t="s">
        <v>354</v>
      </c>
      <c r="I264" s="14" t="s">
        <v>312</v>
      </c>
      <c r="J264" s="8">
        <v>0</v>
      </c>
      <c r="K264" s="8">
        <v>1</v>
      </c>
      <c r="L264" s="8">
        <v>0</v>
      </c>
      <c r="M264" s="163">
        <v>0</v>
      </c>
      <c r="N264" s="215">
        <v>0</v>
      </c>
      <c r="O264" s="295">
        <v>0</v>
      </c>
      <c r="P264" s="215">
        <v>1</v>
      </c>
      <c r="Q264" s="295">
        <v>1</v>
      </c>
      <c r="R264" s="215">
        <v>0</v>
      </c>
      <c r="S264" s="295">
        <v>0</v>
      </c>
      <c r="T264" s="215">
        <v>0</v>
      </c>
      <c r="U264" s="215">
        <v>0</v>
      </c>
      <c r="V264" s="318">
        <f aca="true" t="shared" si="88" ref="V264:V272">J264+K264+L264+M264+O264+Q264+S264+T264+U264</f>
        <v>2</v>
      </c>
      <c r="W264" s="312">
        <v>2021</v>
      </c>
      <c r="X264" s="40">
        <f t="shared" si="66"/>
        <v>0</v>
      </c>
      <c r="Y264" s="40">
        <f t="shared" si="67"/>
        <v>0</v>
      </c>
      <c r="Z264" s="40">
        <f t="shared" si="68"/>
        <v>0</v>
      </c>
    </row>
    <row r="265" spans="1:26" ht="76.5">
      <c r="A265" s="36" t="s">
        <v>272</v>
      </c>
      <c r="B265" s="12">
        <v>1</v>
      </c>
      <c r="C265" s="12">
        <v>2</v>
      </c>
      <c r="D265" s="12">
        <v>2</v>
      </c>
      <c r="E265" s="12">
        <v>0</v>
      </c>
      <c r="F265" s="12">
        <v>1</v>
      </c>
      <c r="G265" s="15"/>
      <c r="H265" s="73" t="s">
        <v>49</v>
      </c>
      <c r="I265" s="15" t="s">
        <v>312</v>
      </c>
      <c r="J265" s="24">
        <v>1</v>
      </c>
      <c r="K265" s="24">
        <v>1</v>
      </c>
      <c r="L265" s="24">
        <v>1</v>
      </c>
      <c r="M265" s="162">
        <v>1</v>
      </c>
      <c r="N265" s="220">
        <v>1</v>
      </c>
      <c r="O265" s="296">
        <v>1</v>
      </c>
      <c r="P265" s="220">
        <v>1</v>
      </c>
      <c r="Q265" s="296">
        <v>1</v>
      </c>
      <c r="R265" s="220">
        <v>1</v>
      </c>
      <c r="S265" s="296">
        <v>1</v>
      </c>
      <c r="T265" s="220">
        <v>1</v>
      </c>
      <c r="U265" s="220">
        <v>1</v>
      </c>
      <c r="V265" s="318">
        <f t="shared" si="88"/>
        <v>9</v>
      </c>
      <c r="W265" s="317">
        <v>2024</v>
      </c>
      <c r="X265" s="40">
        <f aca="true" t="shared" si="89" ref="X265:X328">O265-N265</f>
        <v>0</v>
      </c>
      <c r="Y265" s="40">
        <f aca="true" t="shared" si="90" ref="Y265:Y328">Q265-P265</f>
        <v>0</v>
      </c>
      <c r="Z265" s="40">
        <f aca="true" t="shared" si="91" ref="Z265:Z328">S265-R265</f>
        <v>0</v>
      </c>
    </row>
    <row r="266" spans="1:26" ht="76.5">
      <c r="A266" s="36" t="s">
        <v>272</v>
      </c>
      <c r="B266" s="12">
        <v>1</v>
      </c>
      <c r="C266" s="12">
        <v>2</v>
      </c>
      <c r="D266" s="12">
        <v>2</v>
      </c>
      <c r="E266" s="12">
        <v>0</v>
      </c>
      <c r="F266" s="12">
        <v>1</v>
      </c>
      <c r="G266" s="15"/>
      <c r="H266" s="73" t="s">
        <v>257</v>
      </c>
      <c r="I266" s="15" t="s">
        <v>312</v>
      </c>
      <c r="J266" s="24">
        <v>0</v>
      </c>
      <c r="K266" s="24">
        <v>0</v>
      </c>
      <c r="L266" s="24">
        <v>0</v>
      </c>
      <c r="M266" s="162">
        <v>0</v>
      </c>
      <c r="N266" s="220">
        <v>0</v>
      </c>
      <c r="O266" s="296">
        <v>0</v>
      </c>
      <c r="P266" s="220">
        <v>0</v>
      </c>
      <c r="Q266" s="296">
        <v>0</v>
      </c>
      <c r="R266" s="220">
        <v>0</v>
      </c>
      <c r="S266" s="296">
        <v>0</v>
      </c>
      <c r="T266" s="220">
        <v>1</v>
      </c>
      <c r="U266" s="220">
        <v>1</v>
      </c>
      <c r="V266" s="318">
        <f t="shared" si="88"/>
        <v>2</v>
      </c>
      <c r="W266" s="317">
        <v>2024</v>
      </c>
      <c r="X266" s="40">
        <f t="shared" si="89"/>
        <v>0</v>
      </c>
      <c r="Y266" s="40">
        <f t="shared" si="90"/>
        <v>0</v>
      </c>
      <c r="Z266" s="40">
        <f t="shared" si="91"/>
        <v>0</v>
      </c>
    </row>
    <row r="267" spans="1:27" s="50" customFormat="1" ht="76.5">
      <c r="A267" s="51" t="s">
        <v>272</v>
      </c>
      <c r="B267" s="17">
        <v>1</v>
      </c>
      <c r="C267" s="17">
        <v>2</v>
      </c>
      <c r="D267" s="17">
        <v>2</v>
      </c>
      <c r="E267" s="17">
        <v>0</v>
      </c>
      <c r="F267" s="17">
        <v>2</v>
      </c>
      <c r="G267" s="17"/>
      <c r="H267" s="53" t="s">
        <v>109</v>
      </c>
      <c r="I267" s="17" t="s">
        <v>273</v>
      </c>
      <c r="J267" s="7">
        <f aca="true" t="shared" si="92" ref="J267:U267">J268</f>
        <v>286.4</v>
      </c>
      <c r="K267" s="7">
        <f t="shared" si="92"/>
        <v>781.4</v>
      </c>
      <c r="L267" s="7">
        <f t="shared" si="92"/>
        <v>2603.5</v>
      </c>
      <c r="M267" s="148">
        <f t="shared" si="92"/>
        <v>5755.8</v>
      </c>
      <c r="N267" s="213">
        <f t="shared" si="92"/>
        <v>3579.9</v>
      </c>
      <c r="O267" s="213">
        <f t="shared" si="92"/>
        <v>10170.3</v>
      </c>
      <c r="P267" s="213">
        <f t="shared" si="92"/>
        <v>0</v>
      </c>
      <c r="Q267" s="213">
        <f t="shared" si="92"/>
        <v>0</v>
      </c>
      <c r="R267" s="213">
        <f t="shared" si="92"/>
        <v>0</v>
      </c>
      <c r="S267" s="213">
        <f t="shared" si="92"/>
        <v>0</v>
      </c>
      <c r="T267" s="213">
        <f t="shared" si="92"/>
        <v>0</v>
      </c>
      <c r="U267" s="213">
        <f t="shared" si="92"/>
        <v>0</v>
      </c>
      <c r="V267" s="216">
        <f t="shared" si="88"/>
        <v>19597.4</v>
      </c>
      <c r="W267" s="308">
        <v>2020</v>
      </c>
      <c r="X267" s="40">
        <f t="shared" si="89"/>
        <v>6590.4</v>
      </c>
      <c r="Y267" s="40">
        <f t="shared" si="90"/>
        <v>0</v>
      </c>
      <c r="Z267" s="40">
        <f t="shared" si="91"/>
        <v>0</v>
      </c>
      <c r="AA267" s="37"/>
    </row>
    <row r="268" spans="1:27" s="50" customFormat="1" ht="12.75">
      <c r="A268" s="36" t="s">
        <v>272</v>
      </c>
      <c r="B268" s="12">
        <v>1</v>
      </c>
      <c r="C268" s="12">
        <v>2</v>
      </c>
      <c r="D268" s="12">
        <v>2</v>
      </c>
      <c r="E268" s="12">
        <v>0</v>
      </c>
      <c r="F268" s="12">
        <v>2</v>
      </c>
      <c r="G268" s="12">
        <v>3</v>
      </c>
      <c r="H268" s="42" t="s">
        <v>274</v>
      </c>
      <c r="I268" s="12" t="s">
        <v>273</v>
      </c>
      <c r="J268" s="5">
        <f>230.4+56</f>
        <v>286.4</v>
      </c>
      <c r="K268" s="5">
        <v>781.4</v>
      </c>
      <c r="L268" s="5">
        <v>2603.5</v>
      </c>
      <c r="M268" s="160">
        <v>5755.8</v>
      </c>
      <c r="N268" s="214">
        <v>3579.9</v>
      </c>
      <c r="O268" s="214">
        <v>10170.3</v>
      </c>
      <c r="P268" s="214">
        <v>0</v>
      </c>
      <c r="Q268" s="214">
        <v>0</v>
      </c>
      <c r="R268" s="214">
        <v>0</v>
      </c>
      <c r="S268" s="214">
        <v>0</v>
      </c>
      <c r="T268" s="214">
        <v>0</v>
      </c>
      <c r="U268" s="214">
        <v>0</v>
      </c>
      <c r="V268" s="217">
        <f t="shared" si="88"/>
        <v>19597.4</v>
      </c>
      <c r="W268" s="311">
        <v>2020</v>
      </c>
      <c r="X268" s="40">
        <f t="shared" si="89"/>
        <v>6590.4</v>
      </c>
      <c r="Y268" s="40">
        <f t="shared" si="90"/>
        <v>0</v>
      </c>
      <c r="Z268" s="40">
        <f t="shared" si="91"/>
        <v>0</v>
      </c>
      <c r="AA268" s="37"/>
    </row>
    <row r="269" spans="1:26" ht="51">
      <c r="A269" s="36" t="s">
        <v>272</v>
      </c>
      <c r="B269" s="12">
        <v>1</v>
      </c>
      <c r="C269" s="12">
        <v>2</v>
      </c>
      <c r="D269" s="12">
        <v>2</v>
      </c>
      <c r="E269" s="12">
        <v>0</v>
      </c>
      <c r="F269" s="12">
        <v>2</v>
      </c>
      <c r="G269" s="14"/>
      <c r="H269" s="58" t="s">
        <v>355</v>
      </c>
      <c r="I269" s="14" t="s">
        <v>312</v>
      </c>
      <c r="J269" s="16">
        <v>0</v>
      </c>
      <c r="K269" s="16">
        <v>6</v>
      </c>
      <c r="L269" s="16">
        <v>7</v>
      </c>
      <c r="M269" s="175">
        <v>20</v>
      </c>
      <c r="N269" s="238">
        <v>2</v>
      </c>
      <c r="O269" s="297">
        <v>4</v>
      </c>
      <c r="P269" s="238">
        <v>0</v>
      </c>
      <c r="Q269" s="238">
        <v>0</v>
      </c>
      <c r="R269" s="238">
        <v>0</v>
      </c>
      <c r="S269" s="238">
        <v>0</v>
      </c>
      <c r="T269" s="238">
        <v>0</v>
      </c>
      <c r="U269" s="238">
        <v>0</v>
      </c>
      <c r="V269" s="294">
        <f t="shared" si="88"/>
        <v>37</v>
      </c>
      <c r="W269" s="312">
        <v>2020</v>
      </c>
      <c r="X269" s="40">
        <f t="shared" si="89"/>
        <v>2</v>
      </c>
      <c r="Y269" s="40">
        <f t="shared" si="90"/>
        <v>0</v>
      </c>
      <c r="Z269" s="40">
        <f t="shared" si="91"/>
        <v>0</v>
      </c>
    </row>
    <row r="270" spans="1:26" ht="38.25">
      <c r="A270" s="36" t="s">
        <v>272</v>
      </c>
      <c r="B270" s="12">
        <v>1</v>
      </c>
      <c r="C270" s="12">
        <v>2</v>
      </c>
      <c r="D270" s="12">
        <v>2</v>
      </c>
      <c r="E270" s="12">
        <v>0</v>
      </c>
      <c r="F270" s="12">
        <v>2</v>
      </c>
      <c r="G270" s="14"/>
      <c r="H270" s="58" t="s">
        <v>356</v>
      </c>
      <c r="I270" s="14" t="s">
        <v>312</v>
      </c>
      <c r="J270" s="16">
        <v>2</v>
      </c>
      <c r="K270" s="16">
        <v>0</v>
      </c>
      <c r="L270" s="16">
        <v>5</v>
      </c>
      <c r="M270" s="175">
        <v>5</v>
      </c>
      <c r="N270" s="238">
        <v>0</v>
      </c>
      <c r="O270" s="297">
        <v>0</v>
      </c>
      <c r="P270" s="238">
        <v>0</v>
      </c>
      <c r="Q270" s="238">
        <v>0</v>
      </c>
      <c r="R270" s="238">
        <v>0</v>
      </c>
      <c r="S270" s="238">
        <v>0</v>
      </c>
      <c r="T270" s="238">
        <v>0</v>
      </c>
      <c r="U270" s="238">
        <v>0</v>
      </c>
      <c r="V270" s="294">
        <f t="shared" si="88"/>
        <v>12</v>
      </c>
      <c r="W270" s="312">
        <v>2021</v>
      </c>
      <c r="X270" s="40">
        <f t="shared" si="89"/>
        <v>0</v>
      </c>
      <c r="Y270" s="40">
        <f t="shared" si="90"/>
        <v>0</v>
      </c>
      <c r="Z270" s="40">
        <f t="shared" si="91"/>
        <v>0</v>
      </c>
    </row>
    <row r="271" spans="1:27" s="50" customFormat="1" ht="51">
      <c r="A271" s="51" t="s">
        <v>272</v>
      </c>
      <c r="B271" s="17">
        <v>1</v>
      </c>
      <c r="C271" s="17">
        <v>2</v>
      </c>
      <c r="D271" s="17">
        <v>2</v>
      </c>
      <c r="E271" s="17">
        <v>0</v>
      </c>
      <c r="F271" s="17">
        <v>3</v>
      </c>
      <c r="G271" s="17"/>
      <c r="H271" s="53" t="s">
        <v>110</v>
      </c>
      <c r="I271" s="17" t="s">
        <v>273</v>
      </c>
      <c r="J271" s="7">
        <f>J272</f>
        <v>0</v>
      </c>
      <c r="K271" s="7">
        <f>K272</f>
        <v>6515.5</v>
      </c>
      <c r="L271" s="7">
        <f>L272</f>
        <v>2821.4</v>
      </c>
      <c r="M271" s="148">
        <f>M272+M273</f>
        <v>72992.4</v>
      </c>
      <c r="N271" s="213">
        <v>0</v>
      </c>
      <c r="O271" s="213">
        <f aca="true" t="shared" si="93" ref="O271:U271">O272</f>
        <v>6292.7</v>
      </c>
      <c r="P271" s="213">
        <f>P272</f>
        <v>0</v>
      </c>
      <c r="Q271" s="213">
        <f t="shared" si="93"/>
        <v>0</v>
      </c>
      <c r="R271" s="213">
        <f>R272</f>
        <v>0</v>
      </c>
      <c r="S271" s="213">
        <f t="shared" si="93"/>
        <v>0</v>
      </c>
      <c r="T271" s="213">
        <f t="shared" si="93"/>
        <v>96668</v>
      </c>
      <c r="U271" s="213">
        <f t="shared" si="93"/>
        <v>99368</v>
      </c>
      <c r="V271" s="216">
        <f t="shared" si="88"/>
        <v>284658</v>
      </c>
      <c r="W271" s="308">
        <v>2024</v>
      </c>
      <c r="X271" s="40">
        <f t="shared" si="89"/>
        <v>6292.7</v>
      </c>
      <c r="Y271" s="40">
        <f t="shared" si="90"/>
        <v>0</v>
      </c>
      <c r="Z271" s="40">
        <f t="shared" si="91"/>
        <v>0</v>
      </c>
      <c r="AA271" s="37"/>
    </row>
    <row r="272" spans="1:27" s="50" customFormat="1" ht="12.75">
      <c r="A272" s="36" t="s">
        <v>272</v>
      </c>
      <c r="B272" s="12">
        <v>1</v>
      </c>
      <c r="C272" s="12">
        <v>2</v>
      </c>
      <c r="D272" s="12">
        <v>2</v>
      </c>
      <c r="E272" s="12">
        <v>0</v>
      </c>
      <c r="F272" s="12">
        <v>3</v>
      </c>
      <c r="G272" s="12">
        <v>3</v>
      </c>
      <c r="H272" s="42" t="s">
        <v>274</v>
      </c>
      <c r="I272" s="12" t="s">
        <v>273</v>
      </c>
      <c r="J272" s="5">
        <v>0</v>
      </c>
      <c r="K272" s="5">
        <v>6515.5</v>
      </c>
      <c r="L272" s="5">
        <v>2821.4</v>
      </c>
      <c r="M272" s="160">
        <v>66617.2</v>
      </c>
      <c r="N272" s="214">
        <v>0</v>
      </c>
      <c r="O272" s="214">
        <v>6292.7</v>
      </c>
      <c r="P272" s="214">
        <v>0</v>
      </c>
      <c r="Q272" s="214">
        <v>0</v>
      </c>
      <c r="R272" s="214">
        <v>0</v>
      </c>
      <c r="S272" s="214">
        <v>0</v>
      </c>
      <c r="T272" s="214">
        <f>96683-15</f>
        <v>96668</v>
      </c>
      <c r="U272" s="214">
        <f>99383-15</f>
        <v>99368</v>
      </c>
      <c r="V272" s="217">
        <f t="shared" si="88"/>
        <v>278282.8</v>
      </c>
      <c r="W272" s="311">
        <v>2024</v>
      </c>
      <c r="X272" s="40">
        <f t="shared" si="89"/>
        <v>6292.7</v>
      </c>
      <c r="Y272" s="40">
        <f t="shared" si="90"/>
        <v>0</v>
      </c>
      <c r="Z272" s="40">
        <f t="shared" si="91"/>
        <v>0</v>
      </c>
      <c r="AA272" s="37"/>
    </row>
    <row r="273" spans="1:27" s="50" customFormat="1" ht="12.75">
      <c r="A273" s="36" t="s">
        <v>272</v>
      </c>
      <c r="B273" s="12">
        <v>1</v>
      </c>
      <c r="C273" s="12">
        <v>2</v>
      </c>
      <c r="D273" s="12">
        <v>2</v>
      </c>
      <c r="E273" s="12">
        <v>0</v>
      </c>
      <c r="F273" s="12">
        <v>3</v>
      </c>
      <c r="G273" s="12">
        <v>2</v>
      </c>
      <c r="H273" s="42" t="s">
        <v>275</v>
      </c>
      <c r="I273" s="12" t="s">
        <v>273</v>
      </c>
      <c r="J273" s="5"/>
      <c r="K273" s="5"/>
      <c r="L273" s="5"/>
      <c r="M273" s="160">
        <v>6375.2</v>
      </c>
      <c r="N273" s="214"/>
      <c r="O273" s="214"/>
      <c r="P273" s="214"/>
      <c r="Q273" s="214"/>
      <c r="R273" s="214"/>
      <c r="S273" s="214"/>
      <c r="T273" s="214"/>
      <c r="U273" s="214"/>
      <c r="V273" s="217">
        <f>J273+K273+L273+M273+O273+Q273+S273+T273+U273</f>
        <v>6375.2</v>
      </c>
      <c r="W273" s="311"/>
      <c r="X273" s="40">
        <f t="shared" si="89"/>
        <v>0</v>
      </c>
      <c r="Y273" s="40">
        <f t="shared" si="90"/>
        <v>0</v>
      </c>
      <c r="Z273" s="40">
        <f t="shared" si="91"/>
        <v>0</v>
      </c>
      <c r="AA273" s="37"/>
    </row>
    <row r="274" spans="1:26" ht="38.25">
      <c r="A274" s="36" t="s">
        <v>272</v>
      </c>
      <c r="B274" s="12">
        <v>1</v>
      </c>
      <c r="C274" s="12">
        <v>2</v>
      </c>
      <c r="D274" s="12">
        <v>2</v>
      </c>
      <c r="E274" s="12">
        <v>0</v>
      </c>
      <c r="F274" s="12">
        <v>3</v>
      </c>
      <c r="G274" s="74"/>
      <c r="H274" s="75" t="s">
        <v>357</v>
      </c>
      <c r="I274" s="74" t="s">
        <v>312</v>
      </c>
      <c r="J274" s="76">
        <v>0</v>
      </c>
      <c r="K274" s="76">
        <v>1</v>
      </c>
      <c r="L274" s="76">
        <v>1</v>
      </c>
      <c r="M274" s="180">
        <v>2</v>
      </c>
      <c r="N274" s="246">
        <v>0</v>
      </c>
      <c r="O274" s="298">
        <v>1</v>
      </c>
      <c r="P274" s="246">
        <v>0</v>
      </c>
      <c r="Q274" s="246">
        <v>0</v>
      </c>
      <c r="R274" s="246">
        <v>0</v>
      </c>
      <c r="S274" s="246">
        <v>0</v>
      </c>
      <c r="T274" s="246">
        <v>1</v>
      </c>
      <c r="U274" s="246">
        <v>1</v>
      </c>
      <c r="V274" s="223">
        <f>J274+K274+L274+M274+O274+Q274+S274+T274+U274</f>
        <v>7</v>
      </c>
      <c r="W274" s="319">
        <v>2024</v>
      </c>
      <c r="X274" s="40">
        <f t="shared" si="89"/>
        <v>1</v>
      </c>
      <c r="Y274" s="40">
        <f t="shared" si="90"/>
        <v>0</v>
      </c>
      <c r="Z274" s="40">
        <f t="shared" si="91"/>
        <v>0</v>
      </c>
    </row>
    <row r="275" spans="1:27" s="50" customFormat="1" ht="51">
      <c r="A275" s="51" t="s">
        <v>272</v>
      </c>
      <c r="B275" s="17">
        <v>1</v>
      </c>
      <c r="C275" s="17">
        <v>2</v>
      </c>
      <c r="D275" s="17">
        <v>2</v>
      </c>
      <c r="E275" s="17">
        <v>0</v>
      </c>
      <c r="F275" s="17">
        <v>4</v>
      </c>
      <c r="G275" s="77"/>
      <c r="H275" s="194" t="s">
        <v>391</v>
      </c>
      <c r="I275" s="17" t="s">
        <v>273</v>
      </c>
      <c r="J275" s="7">
        <f>J277</f>
        <v>0</v>
      </c>
      <c r="K275" s="7">
        <f>K277</f>
        <v>0</v>
      </c>
      <c r="L275" s="7">
        <f>L277</f>
        <v>0</v>
      </c>
      <c r="M275" s="148">
        <f>M277</f>
        <v>0</v>
      </c>
      <c r="N275" s="213">
        <v>0</v>
      </c>
      <c r="O275" s="213">
        <v>0</v>
      </c>
      <c r="P275" s="213">
        <v>0</v>
      </c>
      <c r="Q275" s="213">
        <v>0</v>
      </c>
      <c r="R275" s="213">
        <f>R277</f>
        <v>0</v>
      </c>
      <c r="S275" s="213">
        <f>S277</f>
        <v>0</v>
      </c>
      <c r="T275" s="213">
        <f>T276</f>
        <v>15</v>
      </c>
      <c r="U275" s="213">
        <f>U276</f>
        <v>15</v>
      </c>
      <c r="V275" s="216">
        <f>SUM(J275:U275)</f>
        <v>30</v>
      </c>
      <c r="W275" s="308">
        <v>2024</v>
      </c>
      <c r="X275" s="40">
        <f t="shared" si="89"/>
        <v>0</v>
      </c>
      <c r="Y275" s="40">
        <f t="shared" si="90"/>
        <v>0</v>
      </c>
      <c r="Z275" s="40">
        <f t="shared" si="91"/>
        <v>0</v>
      </c>
      <c r="AA275" s="37"/>
    </row>
    <row r="276" spans="1:27" s="50" customFormat="1" ht="12.75">
      <c r="A276" s="36" t="s">
        <v>272</v>
      </c>
      <c r="B276" s="12">
        <v>1</v>
      </c>
      <c r="C276" s="12">
        <v>2</v>
      </c>
      <c r="D276" s="12">
        <v>2</v>
      </c>
      <c r="E276" s="12">
        <v>0</v>
      </c>
      <c r="F276" s="12">
        <v>4</v>
      </c>
      <c r="G276" s="12">
        <v>3</v>
      </c>
      <c r="H276" s="42" t="s">
        <v>274</v>
      </c>
      <c r="I276" s="12" t="s">
        <v>273</v>
      </c>
      <c r="J276" s="5">
        <v>0</v>
      </c>
      <c r="K276" s="5">
        <v>0</v>
      </c>
      <c r="L276" s="5">
        <v>0</v>
      </c>
      <c r="M276" s="160">
        <v>0</v>
      </c>
      <c r="N276" s="214">
        <v>0</v>
      </c>
      <c r="O276" s="214">
        <v>0</v>
      </c>
      <c r="P276" s="214">
        <v>0</v>
      </c>
      <c r="Q276" s="214">
        <v>0</v>
      </c>
      <c r="R276" s="214">
        <v>0</v>
      </c>
      <c r="S276" s="214">
        <v>0</v>
      </c>
      <c r="T276" s="214">
        <v>15</v>
      </c>
      <c r="U276" s="214">
        <v>15</v>
      </c>
      <c r="V276" s="217">
        <f>SUM(J276:U276)</f>
        <v>30</v>
      </c>
      <c r="W276" s="311">
        <v>2024</v>
      </c>
      <c r="X276" s="40">
        <f t="shared" si="89"/>
        <v>0</v>
      </c>
      <c r="Y276" s="40">
        <f t="shared" si="90"/>
        <v>0</v>
      </c>
      <c r="Z276" s="40">
        <f t="shared" si="91"/>
        <v>0</v>
      </c>
      <c r="AA276" s="37"/>
    </row>
    <row r="277" spans="1:26" ht="51">
      <c r="A277" s="36" t="s">
        <v>272</v>
      </c>
      <c r="B277" s="12">
        <v>1</v>
      </c>
      <c r="C277" s="12">
        <v>2</v>
      </c>
      <c r="D277" s="12">
        <v>2</v>
      </c>
      <c r="E277" s="12">
        <v>0</v>
      </c>
      <c r="F277" s="12">
        <v>4</v>
      </c>
      <c r="G277" s="74"/>
      <c r="H277" s="58" t="s">
        <v>255</v>
      </c>
      <c r="I277" s="14" t="s">
        <v>312</v>
      </c>
      <c r="J277" s="8">
        <v>0</v>
      </c>
      <c r="K277" s="8">
        <v>0</v>
      </c>
      <c r="L277" s="8">
        <v>0</v>
      </c>
      <c r="M277" s="146">
        <v>0</v>
      </c>
      <c r="N277" s="223">
        <v>0</v>
      </c>
      <c r="O277" s="299">
        <v>0</v>
      </c>
      <c r="P277" s="223">
        <v>0</v>
      </c>
      <c r="Q277" s="223">
        <v>0</v>
      </c>
      <c r="R277" s="215">
        <v>0</v>
      </c>
      <c r="S277" s="215">
        <v>0</v>
      </c>
      <c r="T277" s="215">
        <v>1</v>
      </c>
      <c r="U277" s="215">
        <v>1</v>
      </c>
      <c r="V277" s="299">
        <f>U277</f>
        <v>1</v>
      </c>
      <c r="W277" s="312">
        <v>2024</v>
      </c>
      <c r="X277" s="40">
        <f t="shared" si="89"/>
        <v>0</v>
      </c>
      <c r="Y277" s="40">
        <f t="shared" si="90"/>
        <v>0</v>
      </c>
      <c r="Z277" s="40">
        <f t="shared" si="91"/>
        <v>0</v>
      </c>
    </row>
    <row r="278" spans="1:27" s="50" customFormat="1" ht="57" customHeight="1">
      <c r="A278" s="65" t="s">
        <v>272</v>
      </c>
      <c r="B278" s="11">
        <v>1</v>
      </c>
      <c r="C278" s="11">
        <v>2</v>
      </c>
      <c r="D278" s="11">
        <v>3</v>
      </c>
      <c r="E278" s="11">
        <v>0</v>
      </c>
      <c r="F278" s="11">
        <v>0</v>
      </c>
      <c r="G278" s="11"/>
      <c r="H278" s="49" t="s">
        <v>358</v>
      </c>
      <c r="I278" s="11" t="s">
        <v>273</v>
      </c>
      <c r="J278" s="10">
        <f>J279+J280+J281</f>
        <v>30762.3</v>
      </c>
      <c r="K278" s="10">
        <f>K279+K280</f>
        <v>76359.4</v>
      </c>
      <c r="L278" s="10">
        <f>L279+L280</f>
        <v>138909.8</v>
      </c>
      <c r="M278" s="161">
        <f aca="true" t="shared" si="94" ref="M278:U278">M279+M280+M281</f>
        <v>165060.8</v>
      </c>
      <c r="N278" s="218">
        <f t="shared" si="94"/>
        <v>110785.4</v>
      </c>
      <c r="O278" s="218">
        <f t="shared" si="94"/>
        <v>122668.3</v>
      </c>
      <c r="P278" s="218">
        <f t="shared" si="94"/>
        <v>86955.7</v>
      </c>
      <c r="Q278" s="218">
        <f t="shared" si="94"/>
        <v>86955.7</v>
      </c>
      <c r="R278" s="218">
        <f t="shared" si="94"/>
        <v>99885.2</v>
      </c>
      <c r="S278" s="218">
        <f t="shared" si="94"/>
        <v>99885.2</v>
      </c>
      <c r="T278" s="218">
        <f>T279+T280+T281</f>
        <v>12960</v>
      </c>
      <c r="U278" s="218">
        <f t="shared" si="94"/>
        <v>10260</v>
      </c>
      <c r="V278" s="218">
        <f>J278+K278+L278+M278+O278+Q278+S278+T278+U278</f>
        <v>743821.5</v>
      </c>
      <c r="W278" s="320">
        <v>2024</v>
      </c>
      <c r="X278" s="40">
        <f t="shared" si="89"/>
        <v>11882.9</v>
      </c>
      <c r="Y278" s="40">
        <f t="shared" si="90"/>
        <v>0</v>
      </c>
      <c r="Z278" s="40">
        <f t="shared" si="91"/>
        <v>0</v>
      </c>
      <c r="AA278" s="37"/>
    </row>
    <row r="279" spans="1:27" s="50" customFormat="1" ht="12.75">
      <c r="A279" s="36" t="s">
        <v>272</v>
      </c>
      <c r="B279" s="12">
        <v>1</v>
      </c>
      <c r="C279" s="12">
        <v>2</v>
      </c>
      <c r="D279" s="12">
        <v>3</v>
      </c>
      <c r="E279" s="12">
        <v>0</v>
      </c>
      <c r="F279" s="12">
        <v>0</v>
      </c>
      <c r="G279" s="12">
        <v>3</v>
      </c>
      <c r="H279" s="42" t="s">
        <v>274</v>
      </c>
      <c r="I279" s="12" t="s">
        <v>273</v>
      </c>
      <c r="J279" s="5">
        <f aca="true" t="shared" si="95" ref="J279:U279">J287+J297+J304+J309+J316+J328</f>
        <v>23312.6</v>
      </c>
      <c r="K279" s="5">
        <f t="shared" si="95"/>
        <v>74309.3</v>
      </c>
      <c r="L279" s="5">
        <f t="shared" si="95"/>
        <v>136758.6</v>
      </c>
      <c r="M279" s="160">
        <f t="shared" si="95"/>
        <v>155589.3</v>
      </c>
      <c r="N279" s="214">
        <f t="shared" si="95"/>
        <v>110785.4</v>
      </c>
      <c r="O279" s="214">
        <f t="shared" si="95"/>
        <v>112668.3</v>
      </c>
      <c r="P279" s="214">
        <f>P287+P297+P304+P309+P316+P328</f>
        <v>86955.7</v>
      </c>
      <c r="Q279" s="214">
        <f>Q287+Q297+Q304+Q309+Q316+Q328</f>
        <v>86955.7</v>
      </c>
      <c r="R279" s="214">
        <f>R287+R297+R304+R309+R316+R328</f>
        <v>99885.2</v>
      </c>
      <c r="S279" s="214">
        <f t="shared" si="95"/>
        <v>99885.2</v>
      </c>
      <c r="T279" s="214">
        <f t="shared" si="95"/>
        <v>12960</v>
      </c>
      <c r="U279" s="214">
        <f t="shared" si="95"/>
        <v>10260</v>
      </c>
      <c r="V279" s="217">
        <f>J279+K279+L279+M279+O279+Q279+S279+T279+U279</f>
        <v>712699</v>
      </c>
      <c r="W279" s="311">
        <v>2024</v>
      </c>
      <c r="X279" s="40">
        <f t="shared" si="89"/>
        <v>1882.9</v>
      </c>
      <c r="Y279" s="40">
        <f t="shared" si="90"/>
        <v>0</v>
      </c>
      <c r="Z279" s="40">
        <f t="shared" si="91"/>
        <v>0</v>
      </c>
      <c r="AA279" s="37"/>
    </row>
    <row r="280" spans="1:27" s="50" customFormat="1" ht="12.75">
      <c r="A280" s="36" t="s">
        <v>272</v>
      </c>
      <c r="B280" s="12">
        <v>1</v>
      </c>
      <c r="C280" s="12">
        <v>2</v>
      </c>
      <c r="D280" s="12">
        <v>3</v>
      </c>
      <c r="E280" s="12">
        <v>0</v>
      </c>
      <c r="F280" s="12">
        <v>0</v>
      </c>
      <c r="G280" s="12">
        <v>2</v>
      </c>
      <c r="H280" s="42" t="s">
        <v>275</v>
      </c>
      <c r="I280" s="12" t="s">
        <v>273</v>
      </c>
      <c r="J280" s="5">
        <f aca="true" t="shared" si="96" ref="J280:U280">J288+J298+J305+J317+J329</f>
        <v>5966.4</v>
      </c>
      <c r="K280" s="5">
        <f t="shared" si="96"/>
        <v>2050.1</v>
      </c>
      <c r="L280" s="5">
        <f t="shared" si="96"/>
        <v>2151.2</v>
      </c>
      <c r="M280" s="160">
        <f t="shared" si="96"/>
        <v>9471.5</v>
      </c>
      <c r="N280" s="214">
        <f t="shared" si="96"/>
        <v>0</v>
      </c>
      <c r="O280" s="214">
        <f t="shared" si="96"/>
        <v>10000</v>
      </c>
      <c r="P280" s="214">
        <f t="shared" si="96"/>
        <v>0</v>
      </c>
      <c r="Q280" s="214">
        <f t="shared" si="96"/>
        <v>0</v>
      </c>
      <c r="R280" s="214">
        <f t="shared" si="96"/>
        <v>0</v>
      </c>
      <c r="S280" s="214">
        <f t="shared" si="96"/>
        <v>0</v>
      </c>
      <c r="T280" s="214">
        <f t="shared" si="96"/>
        <v>0</v>
      </c>
      <c r="U280" s="214">
        <f t="shared" si="96"/>
        <v>0</v>
      </c>
      <c r="V280" s="217">
        <f>J280+K280+L280+M280+O280+Q280+S280+T280+U280</f>
        <v>29639.2</v>
      </c>
      <c r="W280" s="311">
        <v>2019</v>
      </c>
      <c r="X280" s="40">
        <f t="shared" si="89"/>
        <v>10000</v>
      </c>
      <c r="Y280" s="40">
        <f t="shared" si="90"/>
        <v>0</v>
      </c>
      <c r="Z280" s="40">
        <f t="shared" si="91"/>
        <v>0</v>
      </c>
      <c r="AA280" s="37"/>
    </row>
    <row r="281" spans="1:27" s="50" customFormat="1" ht="12.75">
      <c r="A281" s="36" t="s">
        <v>272</v>
      </c>
      <c r="B281" s="12">
        <v>1</v>
      </c>
      <c r="C281" s="12">
        <v>2</v>
      </c>
      <c r="D281" s="12">
        <v>3</v>
      </c>
      <c r="E281" s="12">
        <v>0</v>
      </c>
      <c r="F281" s="12">
        <v>0</v>
      </c>
      <c r="G281" s="12">
        <v>1</v>
      </c>
      <c r="H281" s="42" t="s">
        <v>276</v>
      </c>
      <c r="I281" s="12" t="s">
        <v>273</v>
      </c>
      <c r="J281" s="5">
        <f>J299</f>
        <v>1483.3</v>
      </c>
      <c r="K281" s="5">
        <v>0</v>
      </c>
      <c r="L281" s="5">
        <v>0</v>
      </c>
      <c r="M281" s="160">
        <v>0</v>
      </c>
      <c r="N281" s="214">
        <v>0</v>
      </c>
      <c r="O281" s="214">
        <v>0</v>
      </c>
      <c r="P281" s="214">
        <v>0</v>
      </c>
      <c r="Q281" s="214">
        <v>0</v>
      </c>
      <c r="R281" s="214">
        <f>R299</f>
        <v>0</v>
      </c>
      <c r="S281" s="214">
        <f>S299</f>
        <v>0</v>
      </c>
      <c r="T281" s="214">
        <f>T299</f>
        <v>0</v>
      </c>
      <c r="U281" s="214">
        <f>U299</f>
        <v>0</v>
      </c>
      <c r="V281" s="217">
        <f>J281+K281+L281+M281+O281+Q281+S281+T281+U281</f>
        <v>1483.3</v>
      </c>
      <c r="W281" s="311">
        <v>2016</v>
      </c>
      <c r="X281" s="40">
        <f t="shared" si="89"/>
        <v>0</v>
      </c>
      <c r="Y281" s="40">
        <f t="shared" si="90"/>
        <v>0</v>
      </c>
      <c r="Z281" s="40">
        <f t="shared" si="91"/>
        <v>0</v>
      </c>
      <c r="AA281" s="37"/>
    </row>
    <row r="282" spans="1:26" ht="63.75">
      <c r="A282" s="36" t="s">
        <v>272</v>
      </c>
      <c r="B282" s="12">
        <v>1</v>
      </c>
      <c r="C282" s="12">
        <v>2</v>
      </c>
      <c r="D282" s="12">
        <v>3</v>
      </c>
      <c r="E282" s="12">
        <v>0</v>
      </c>
      <c r="F282" s="12">
        <v>0</v>
      </c>
      <c r="G282" s="14"/>
      <c r="H282" s="63" t="s">
        <v>359</v>
      </c>
      <c r="I282" s="14" t="s">
        <v>278</v>
      </c>
      <c r="J282" s="9">
        <v>67.6</v>
      </c>
      <c r="K282" s="9">
        <v>97</v>
      </c>
      <c r="L282" s="9">
        <v>94</v>
      </c>
      <c r="M282" s="141">
        <v>98.4</v>
      </c>
      <c r="N282" s="210">
        <v>79.7</v>
      </c>
      <c r="O282" s="210">
        <v>79.7</v>
      </c>
      <c r="P282" s="210">
        <v>85.9</v>
      </c>
      <c r="Q282" s="210">
        <v>85.9</v>
      </c>
      <c r="R282" s="210">
        <v>93.8</v>
      </c>
      <c r="S282" s="210">
        <v>93.8</v>
      </c>
      <c r="T282" s="210">
        <v>93.8</v>
      </c>
      <c r="U282" s="210">
        <v>93.8</v>
      </c>
      <c r="V282" s="309">
        <f>U282</f>
        <v>93.8</v>
      </c>
      <c r="W282" s="312">
        <v>2024</v>
      </c>
      <c r="X282" s="40">
        <f t="shared" si="89"/>
        <v>0</v>
      </c>
      <c r="Y282" s="40">
        <f t="shared" si="90"/>
        <v>0</v>
      </c>
      <c r="Z282" s="40">
        <f t="shared" si="91"/>
        <v>0</v>
      </c>
    </row>
    <row r="283" spans="1:26" ht="63.75">
      <c r="A283" s="36" t="s">
        <v>272</v>
      </c>
      <c r="B283" s="12">
        <v>1</v>
      </c>
      <c r="C283" s="12">
        <v>2</v>
      </c>
      <c r="D283" s="12">
        <v>3</v>
      </c>
      <c r="E283" s="12">
        <v>0</v>
      </c>
      <c r="F283" s="12">
        <v>0</v>
      </c>
      <c r="G283" s="14"/>
      <c r="H283" s="63" t="s">
        <v>360</v>
      </c>
      <c r="I283" s="14" t="s">
        <v>312</v>
      </c>
      <c r="J283" s="8">
        <v>46</v>
      </c>
      <c r="K283" s="8">
        <v>65</v>
      </c>
      <c r="L283" s="8">
        <v>63</v>
      </c>
      <c r="M283" s="163">
        <v>63</v>
      </c>
      <c r="N283" s="215">
        <v>63</v>
      </c>
      <c r="O283" s="215">
        <v>63</v>
      </c>
      <c r="P283" s="215">
        <v>63</v>
      </c>
      <c r="Q283" s="215">
        <v>63</v>
      </c>
      <c r="R283" s="215">
        <v>63</v>
      </c>
      <c r="S283" s="215">
        <v>63</v>
      </c>
      <c r="T283" s="215">
        <v>63</v>
      </c>
      <c r="U283" s="215">
        <v>63</v>
      </c>
      <c r="V283" s="223">
        <f>U283</f>
        <v>63</v>
      </c>
      <c r="W283" s="312">
        <v>2024</v>
      </c>
      <c r="X283" s="40">
        <f t="shared" si="89"/>
        <v>0</v>
      </c>
      <c r="Y283" s="40">
        <f t="shared" si="90"/>
        <v>0</v>
      </c>
      <c r="Z283" s="40">
        <f t="shared" si="91"/>
        <v>0</v>
      </c>
    </row>
    <row r="284" spans="1:26" ht="63.75">
      <c r="A284" s="51" t="s">
        <v>272</v>
      </c>
      <c r="B284" s="17">
        <v>1</v>
      </c>
      <c r="C284" s="17">
        <v>2</v>
      </c>
      <c r="D284" s="17">
        <v>3</v>
      </c>
      <c r="E284" s="17">
        <v>0</v>
      </c>
      <c r="F284" s="17">
        <v>1</v>
      </c>
      <c r="G284" s="20"/>
      <c r="H284" s="52" t="s">
        <v>239</v>
      </c>
      <c r="I284" s="20" t="s">
        <v>297</v>
      </c>
      <c r="J284" s="23" t="s">
        <v>298</v>
      </c>
      <c r="K284" s="23" t="s">
        <v>298</v>
      </c>
      <c r="L284" s="78" t="s">
        <v>298</v>
      </c>
      <c r="M284" s="145" t="s">
        <v>298</v>
      </c>
      <c r="N284" s="219" t="s">
        <v>298</v>
      </c>
      <c r="O284" s="219" t="s">
        <v>298</v>
      </c>
      <c r="P284" s="219" t="s">
        <v>298</v>
      </c>
      <c r="Q284" s="219" t="s">
        <v>298</v>
      </c>
      <c r="R284" s="219" t="s">
        <v>298</v>
      </c>
      <c r="S284" s="219" t="s">
        <v>298</v>
      </c>
      <c r="T284" s="219" t="s">
        <v>298</v>
      </c>
      <c r="U284" s="219" t="s">
        <v>298</v>
      </c>
      <c r="V284" s="230" t="s">
        <v>298</v>
      </c>
      <c r="W284" s="307">
        <v>2024</v>
      </c>
      <c r="X284" s="40"/>
      <c r="Y284" s="40"/>
      <c r="Z284" s="40"/>
    </row>
    <row r="285" spans="1:26" ht="76.5">
      <c r="A285" s="36" t="s">
        <v>272</v>
      </c>
      <c r="B285" s="12">
        <v>1</v>
      </c>
      <c r="C285" s="12">
        <v>2</v>
      </c>
      <c r="D285" s="12">
        <v>3</v>
      </c>
      <c r="E285" s="12">
        <v>0</v>
      </c>
      <c r="F285" s="12">
        <v>1</v>
      </c>
      <c r="G285" s="15"/>
      <c r="H285" s="58" t="s">
        <v>50</v>
      </c>
      <c r="I285" s="14" t="s">
        <v>312</v>
      </c>
      <c r="J285" s="8">
        <v>1</v>
      </c>
      <c r="K285" s="8">
        <v>1</v>
      </c>
      <c r="L285" s="8">
        <v>1</v>
      </c>
      <c r="M285" s="163">
        <v>1</v>
      </c>
      <c r="N285" s="215">
        <v>1</v>
      </c>
      <c r="O285" s="215">
        <v>1</v>
      </c>
      <c r="P285" s="215">
        <v>1</v>
      </c>
      <c r="Q285" s="215">
        <v>1</v>
      </c>
      <c r="R285" s="215">
        <v>1</v>
      </c>
      <c r="S285" s="215">
        <v>1</v>
      </c>
      <c r="T285" s="215">
        <v>1</v>
      </c>
      <c r="U285" s="215">
        <v>1</v>
      </c>
      <c r="V285" s="223">
        <f>J285+K285+L285+M285+O285+Q285+S285+T285+U285</f>
        <v>9</v>
      </c>
      <c r="W285" s="312">
        <v>2024</v>
      </c>
      <c r="X285" s="40">
        <f t="shared" si="89"/>
        <v>0</v>
      </c>
      <c r="Y285" s="40">
        <f t="shared" si="90"/>
        <v>0</v>
      </c>
      <c r="Z285" s="40">
        <f t="shared" si="91"/>
        <v>0</v>
      </c>
    </row>
    <row r="286" spans="1:27" s="50" customFormat="1" ht="63.75">
      <c r="A286" s="51" t="s">
        <v>272</v>
      </c>
      <c r="B286" s="17">
        <v>1</v>
      </c>
      <c r="C286" s="17">
        <v>2</v>
      </c>
      <c r="D286" s="17">
        <v>3</v>
      </c>
      <c r="E286" s="17">
        <v>0</v>
      </c>
      <c r="F286" s="17">
        <v>2</v>
      </c>
      <c r="G286" s="17"/>
      <c r="H286" s="53" t="s">
        <v>111</v>
      </c>
      <c r="I286" s="17" t="s">
        <v>273</v>
      </c>
      <c r="J286" s="7">
        <f aca="true" t="shared" si="97" ref="J286:U286">J287+J288</f>
        <v>22780.6</v>
      </c>
      <c r="K286" s="7">
        <f t="shared" si="97"/>
        <v>33103.1</v>
      </c>
      <c r="L286" s="7">
        <f t="shared" si="97"/>
        <v>69658.2</v>
      </c>
      <c r="M286" s="148">
        <f>M287+M288</f>
        <v>73730.7</v>
      </c>
      <c r="N286" s="213">
        <f>N287+N288</f>
        <v>35055.4</v>
      </c>
      <c r="O286" s="213">
        <f>O287+O288</f>
        <v>44280.7</v>
      </c>
      <c r="P286" s="213">
        <f>P287+P288</f>
        <v>37145.1</v>
      </c>
      <c r="Q286" s="213">
        <f t="shared" si="97"/>
        <v>37145.1</v>
      </c>
      <c r="R286" s="213">
        <f t="shared" si="97"/>
        <v>55089.7</v>
      </c>
      <c r="S286" s="213">
        <f t="shared" si="97"/>
        <v>55089.7</v>
      </c>
      <c r="T286" s="213">
        <f t="shared" si="97"/>
        <v>0</v>
      </c>
      <c r="U286" s="213">
        <f t="shared" si="97"/>
        <v>0</v>
      </c>
      <c r="V286" s="216">
        <f>J286+K286+L286+M286+O286+Q286+S286+T286+U286</f>
        <v>335788.1</v>
      </c>
      <c r="W286" s="308">
        <v>2022</v>
      </c>
      <c r="X286" s="40">
        <f t="shared" si="89"/>
        <v>9225.3</v>
      </c>
      <c r="Y286" s="40">
        <f t="shared" si="90"/>
        <v>0</v>
      </c>
      <c r="Z286" s="40">
        <f t="shared" si="91"/>
        <v>0</v>
      </c>
      <c r="AA286" s="37"/>
    </row>
    <row r="287" spans="1:27" s="50" customFormat="1" ht="12.75">
      <c r="A287" s="36" t="s">
        <v>272</v>
      </c>
      <c r="B287" s="12">
        <v>1</v>
      </c>
      <c r="C287" s="12">
        <v>2</v>
      </c>
      <c r="D287" s="12">
        <v>3</v>
      </c>
      <c r="E287" s="12">
        <v>0</v>
      </c>
      <c r="F287" s="12">
        <v>2</v>
      </c>
      <c r="G287" s="12">
        <v>3</v>
      </c>
      <c r="H287" s="42" t="s">
        <v>274</v>
      </c>
      <c r="I287" s="12" t="s">
        <v>273</v>
      </c>
      <c r="J287" s="5">
        <f>16330.7+375+375.2</f>
        <v>17080.9</v>
      </c>
      <c r="K287" s="5">
        <v>32043.1</v>
      </c>
      <c r="L287" s="5">
        <f>69658.2-1401.6</f>
        <v>68256.6</v>
      </c>
      <c r="M287" s="160">
        <v>72808.6</v>
      </c>
      <c r="N287" s="214">
        <f>35055439/1000</f>
        <v>35055.4</v>
      </c>
      <c r="O287" s="214">
        <v>44280.7</v>
      </c>
      <c r="P287" s="214">
        <v>37145.1</v>
      </c>
      <c r="Q287" s="214">
        <v>37145.1</v>
      </c>
      <c r="R287" s="214">
        <v>55089.7</v>
      </c>
      <c r="S287" s="214">
        <v>55089.7</v>
      </c>
      <c r="T287" s="214">
        <v>0</v>
      </c>
      <c r="U287" s="214">
        <v>0</v>
      </c>
      <c r="V287" s="217">
        <f>J287+K287+L287+M287+O287+Q287+S287+T287+U287</f>
        <v>326704.7</v>
      </c>
      <c r="W287" s="311">
        <v>2022</v>
      </c>
      <c r="X287" s="40">
        <f t="shared" si="89"/>
        <v>9225.3</v>
      </c>
      <c r="Y287" s="40">
        <f t="shared" si="90"/>
        <v>0</v>
      </c>
      <c r="Z287" s="40">
        <f t="shared" si="91"/>
        <v>0</v>
      </c>
      <c r="AA287" s="37"/>
    </row>
    <row r="288" spans="1:27" s="50" customFormat="1" ht="12.75">
      <c r="A288" s="36" t="s">
        <v>272</v>
      </c>
      <c r="B288" s="12">
        <v>1</v>
      </c>
      <c r="C288" s="12">
        <v>2</v>
      </c>
      <c r="D288" s="12">
        <v>3</v>
      </c>
      <c r="E288" s="12">
        <v>0</v>
      </c>
      <c r="F288" s="12">
        <v>2</v>
      </c>
      <c r="G288" s="12">
        <v>2</v>
      </c>
      <c r="H288" s="42" t="s">
        <v>275</v>
      </c>
      <c r="I288" s="12" t="s">
        <v>273</v>
      </c>
      <c r="J288" s="5">
        <f>5000+699.7</f>
        <v>5699.7</v>
      </c>
      <c r="K288" s="5">
        <v>1060</v>
      </c>
      <c r="L288" s="5">
        <v>1401.6</v>
      </c>
      <c r="M288" s="160">
        <v>922.1</v>
      </c>
      <c r="N288" s="214">
        <v>0</v>
      </c>
      <c r="O288" s="214">
        <v>0</v>
      </c>
      <c r="P288" s="214">
        <v>0</v>
      </c>
      <c r="Q288" s="214">
        <v>0</v>
      </c>
      <c r="R288" s="214">
        <v>0</v>
      </c>
      <c r="S288" s="214">
        <v>0</v>
      </c>
      <c r="T288" s="214">
        <v>0</v>
      </c>
      <c r="U288" s="214">
        <v>0</v>
      </c>
      <c r="V288" s="217">
        <f>J288+K288+L288+M288+O288+Q288+S288+T288+U288</f>
        <v>9083.4</v>
      </c>
      <c r="W288" s="311">
        <v>2018</v>
      </c>
      <c r="X288" s="40">
        <f t="shared" si="89"/>
        <v>0</v>
      </c>
      <c r="Y288" s="40">
        <f t="shared" si="90"/>
        <v>0</v>
      </c>
      <c r="Z288" s="40">
        <f t="shared" si="91"/>
        <v>0</v>
      </c>
      <c r="AA288" s="37"/>
    </row>
    <row r="289" spans="1:26" ht="29.25" customHeight="1">
      <c r="A289" s="36" t="s">
        <v>272</v>
      </c>
      <c r="B289" s="12">
        <v>1</v>
      </c>
      <c r="C289" s="12">
        <v>2</v>
      </c>
      <c r="D289" s="12">
        <v>3</v>
      </c>
      <c r="E289" s="12">
        <v>0</v>
      </c>
      <c r="F289" s="12">
        <v>2</v>
      </c>
      <c r="G289" s="14"/>
      <c r="H289" s="58" t="s">
        <v>361</v>
      </c>
      <c r="I289" s="14" t="s">
        <v>347</v>
      </c>
      <c r="J289" s="9">
        <f>340+2065</f>
        <v>2405</v>
      </c>
      <c r="K289" s="9">
        <v>314</v>
      </c>
      <c r="L289" s="9">
        <v>1359.2</v>
      </c>
      <c r="M289" s="141">
        <v>1695.5</v>
      </c>
      <c r="N289" s="210">
        <v>0</v>
      </c>
      <c r="O289" s="210">
        <v>0</v>
      </c>
      <c r="P289" s="210">
        <v>0</v>
      </c>
      <c r="Q289" s="210">
        <v>0</v>
      </c>
      <c r="R289" s="210">
        <v>0</v>
      </c>
      <c r="S289" s="210">
        <v>0</v>
      </c>
      <c r="T289" s="210">
        <v>0</v>
      </c>
      <c r="U289" s="210">
        <v>0</v>
      </c>
      <c r="V289" s="221">
        <f>J289+K289+L289+M289+O289+Q289+S289+T289+U289</f>
        <v>5773.7</v>
      </c>
      <c r="W289" s="312">
        <v>2020</v>
      </c>
      <c r="X289" s="40">
        <f t="shared" si="89"/>
        <v>0</v>
      </c>
      <c r="Y289" s="40">
        <f t="shared" si="90"/>
        <v>0</v>
      </c>
      <c r="Z289" s="40">
        <f t="shared" si="91"/>
        <v>0</v>
      </c>
    </row>
    <row r="290" spans="1:26" ht="38.25">
      <c r="A290" s="36" t="s">
        <v>272</v>
      </c>
      <c r="B290" s="12">
        <v>1</v>
      </c>
      <c r="C290" s="12">
        <v>2</v>
      </c>
      <c r="D290" s="12">
        <v>3</v>
      </c>
      <c r="E290" s="12">
        <v>0</v>
      </c>
      <c r="F290" s="12">
        <v>2</v>
      </c>
      <c r="G290" s="14"/>
      <c r="H290" s="58" t="s">
        <v>362</v>
      </c>
      <c r="I290" s="14" t="s">
        <v>347</v>
      </c>
      <c r="J290" s="9">
        <v>4714</v>
      </c>
      <c r="K290" s="9">
        <v>7987.3</v>
      </c>
      <c r="L290" s="9">
        <v>21518.9</v>
      </c>
      <c r="M290" s="141">
        <v>20906</v>
      </c>
      <c r="N290" s="210">
        <v>294.3</v>
      </c>
      <c r="O290" s="210">
        <v>881.8</v>
      </c>
      <c r="P290" s="210">
        <v>0</v>
      </c>
      <c r="Q290" s="210">
        <v>0</v>
      </c>
      <c r="R290" s="210">
        <v>6968</v>
      </c>
      <c r="S290" s="210">
        <v>6968</v>
      </c>
      <c r="T290" s="210">
        <v>0</v>
      </c>
      <c r="U290" s="210">
        <v>0</v>
      </c>
      <c r="V290" s="221">
        <f aca="true" t="shared" si="98" ref="V290:V295">J290+K290+L290+M290+O290+Q290+S290+T290+U290</f>
        <v>62976</v>
      </c>
      <c r="W290" s="312">
        <v>2022</v>
      </c>
      <c r="X290" s="40">
        <f t="shared" si="89"/>
        <v>587.5</v>
      </c>
      <c r="Y290" s="40">
        <f t="shared" si="90"/>
        <v>0</v>
      </c>
      <c r="Z290" s="40">
        <f t="shared" si="91"/>
        <v>0</v>
      </c>
    </row>
    <row r="291" spans="1:26" ht="38.25">
      <c r="A291" s="36" t="s">
        <v>272</v>
      </c>
      <c r="B291" s="12">
        <v>1</v>
      </c>
      <c r="C291" s="12">
        <v>2</v>
      </c>
      <c r="D291" s="12">
        <v>3</v>
      </c>
      <c r="E291" s="12">
        <v>0</v>
      </c>
      <c r="F291" s="12">
        <v>2</v>
      </c>
      <c r="G291" s="14"/>
      <c r="H291" s="58" t="s">
        <v>363</v>
      </c>
      <c r="I291" s="14" t="s">
        <v>347</v>
      </c>
      <c r="J291" s="9">
        <v>3816</v>
      </c>
      <c r="K291" s="9">
        <v>2775</v>
      </c>
      <c r="L291" s="9">
        <v>1598.7</v>
      </c>
      <c r="M291" s="141">
        <v>2616.3</v>
      </c>
      <c r="N291" s="210">
        <v>5061.4</v>
      </c>
      <c r="O291" s="210">
        <v>6287.4</v>
      </c>
      <c r="P291" s="210">
        <v>5701</v>
      </c>
      <c r="Q291" s="210">
        <v>5701</v>
      </c>
      <c r="R291" s="210">
        <v>2684</v>
      </c>
      <c r="S291" s="210">
        <v>2684</v>
      </c>
      <c r="T291" s="210">
        <v>0</v>
      </c>
      <c r="U291" s="210">
        <v>0</v>
      </c>
      <c r="V291" s="221">
        <f t="shared" si="98"/>
        <v>25478.4</v>
      </c>
      <c r="W291" s="312">
        <v>2022</v>
      </c>
      <c r="X291" s="40">
        <f t="shared" si="89"/>
        <v>1226</v>
      </c>
      <c r="Y291" s="40">
        <f t="shared" si="90"/>
        <v>0</v>
      </c>
      <c r="Z291" s="40">
        <f t="shared" si="91"/>
        <v>0</v>
      </c>
    </row>
    <row r="292" spans="1:26" ht="38.25">
      <c r="A292" s="36" t="s">
        <v>272</v>
      </c>
      <c r="B292" s="12">
        <v>1</v>
      </c>
      <c r="C292" s="12">
        <v>2</v>
      </c>
      <c r="D292" s="12">
        <v>3</v>
      </c>
      <c r="E292" s="12">
        <v>0</v>
      </c>
      <c r="F292" s="12">
        <v>2</v>
      </c>
      <c r="G292" s="14"/>
      <c r="H292" s="58" t="s">
        <v>364</v>
      </c>
      <c r="I292" s="14" t="s">
        <v>312</v>
      </c>
      <c r="J292" s="8">
        <v>5</v>
      </c>
      <c r="K292" s="8">
        <v>26</v>
      </c>
      <c r="L292" s="8">
        <v>27</v>
      </c>
      <c r="M292" s="163">
        <v>19</v>
      </c>
      <c r="N292" s="215">
        <v>2</v>
      </c>
      <c r="O292" s="215">
        <v>2</v>
      </c>
      <c r="P292" s="215">
        <v>27</v>
      </c>
      <c r="Q292" s="215">
        <v>27</v>
      </c>
      <c r="R292" s="215">
        <v>0</v>
      </c>
      <c r="S292" s="215">
        <v>0</v>
      </c>
      <c r="T292" s="215">
        <v>0</v>
      </c>
      <c r="U292" s="215">
        <v>0</v>
      </c>
      <c r="V292" s="221">
        <f t="shared" si="98"/>
        <v>106</v>
      </c>
      <c r="W292" s="312">
        <v>2020</v>
      </c>
      <c r="X292" s="40">
        <f t="shared" si="89"/>
        <v>0</v>
      </c>
      <c r="Y292" s="40">
        <f t="shared" si="90"/>
        <v>0</v>
      </c>
      <c r="Z292" s="40">
        <f t="shared" si="91"/>
        <v>0</v>
      </c>
    </row>
    <row r="293" spans="1:26" ht="25.5">
      <c r="A293" s="36" t="s">
        <v>272</v>
      </c>
      <c r="B293" s="12">
        <v>1</v>
      </c>
      <c r="C293" s="12">
        <v>2</v>
      </c>
      <c r="D293" s="12">
        <v>3</v>
      </c>
      <c r="E293" s="12">
        <v>0</v>
      </c>
      <c r="F293" s="12">
        <v>2</v>
      </c>
      <c r="G293" s="14"/>
      <c r="H293" s="58" t="s">
        <v>365</v>
      </c>
      <c r="I293" s="14" t="s">
        <v>366</v>
      </c>
      <c r="J293" s="9">
        <v>320</v>
      </c>
      <c r="K293" s="9">
        <v>540</v>
      </c>
      <c r="L293" s="8">
        <v>600</v>
      </c>
      <c r="M293" s="141">
        <v>1808.7</v>
      </c>
      <c r="N293" s="210">
        <v>0</v>
      </c>
      <c r="O293" s="210">
        <v>0</v>
      </c>
      <c r="P293" s="210">
        <v>0</v>
      </c>
      <c r="Q293" s="210">
        <v>0</v>
      </c>
      <c r="R293" s="210">
        <v>0</v>
      </c>
      <c r="S293" s="210">
        <v>0</v>
      </c>
      <c r="T293" s="210">
        <v>0</v>
      </c>
      <c r="U293" s="210">
        <v>0</v>
      </c>
      <c r="V293" s="221">
        <f t="shared" si="98"/>
        <v>3268.7</v>
      </c>
      <c r="W293" s="312">
        <v>2019</v>
      </c>
      <c r="X293" s="40">
        <f t="shared" si="89"/>
        <v>0</v>
      </c>
      <c r="Y293" s="40">
        <f t="shared" si="90"/>
        <v>0</v>
      </c>
      <c r="Z293" s="40">
        <f t="shared" si="91"/>
        <v>0</v>
      </c>
    </row>
    <row r="294" spans="1:26" ht="38.25">
      <c r="A294" s="36" t="s">
        <v>272</v>
      </c>
      <c r="B294" s="12">
        <v>1</v>
      </c>
      <c r="C294" s="12">
        <v>2</v>
      </c>
      <c r="D294" s="12">
        <v>3</v>
      </c>
      <c r="E294" s="12">
        <v>0</v>
      </c>
      <c r="F294" s="12">
        <v>2</v>
      </c>
      <c r="G294" s="14"/>
      <c r="H294" s="63" t="s">
        <v>367</v>
      </c>
      <c r="I294" s="14" t="s">
        <v>347</v>
      </c>
      <c r="J294" s="9">
        <v>16</v>
      </c>
      <c r="K294" s="9">
        <v>882.8</v>
      </c>
      <c r="L294" s="9">
        <f>2139.5+26.66</f>
        <v>2166.2</v>
      </c>
      <c r="M294" s="141">
        <v>2358.9</v>
      </c>
      <c r="N294" s="210">
        <v>557.9</v>
      </c>
      <c r="O294" s="210">
        <v>600.1</v>
      </c>
      <c r="P294" s="210">
        <v>249</v>
      </c>
      <c r="Q294" s="210">
        <v>249</v>
      </c>
      <c r="R294" s="210">
        <v>2693</v>
      </c>
      <c r="S294" s="210">
        <v>2693</v>
      </c>
      <c r="T294" s="210">
        <v>0</v>
      </c>
      <c r="U294" s="210">
        <v>0</v>
      </c>
      <c r="V294" s="221">
        <f t="shared" si="98"/>
        <v>8966</v>
      </c>
      <c r="W294" s="312">
        <v>2022</v>
      </c>
      <c r="X294" s="40">
        <f t="shared" si="89"/>
        <v>42.2</v>
      </c>
      <c r="Y294" s="40">
        <f t="shared" si="90"/>
        <v>0</v>
      </c>
      <c r="Z294" s="40">
        <f t="shared" si="91"/>
        <v>0</v>
      </c>
    </row>
    <row r="295" spans="1:26" ht="38.25">
      <c r="A295" s="36" t="s">
        <v>272</v>
      </c>
      <c r="B295" s="12">
        <v>1</v>
      </c>
      <c r="C295" s="12">
        <v>2</v>
      </c>
      <c r="D295" s="12">
        <v>3</v>
      </c>
      <c r="E295" s="12">
        <v>0</v>
      </c>
      <c r="F295" s="12">
        <v>2</v>
      </c>
      <c r="G295" s="14"/>
      <c r="H295" s="63" t="s">
        <v>368</v>
      </c>
      <c r="I295" s="14" t="s">
        <v>347</v>
      </c>
      <c r="J295" s="9">
        <v>5</v>
      </c>
      <c r="K295" s="9">
        <v>26.6</v>
      </c>
      <c r="L295" s="9">
        <v>378.1</v>
      </c>
      <c r="M295" s="141">
        <v>56</v>
      </c>
      <c r="N295" s="210">
        <v>0</v>
      </c>
      <c r="O295" s="210">
        <v>0</v>
      </c>
      <c r="P295" s="210">
        <v>17</v>
      </c>
      <c r="Q295" s="210">
        <v>17</v>
      </c>
      <c r="R295" s="210">
        <v>271</v>
      </c>
      <c r="S295" s="210">
        <v>271</v>
      </c>
      <c r="T295" s="210">
        <v>0</v>
      </c>
      <c r="U295" s="210">
        <v>0</v>
      </c>
      <c r="V295" s="221">
        <f t="shared" si="98"/>
        <v>753.7</v>
      </c>
      <c r="W295" s="312">
        <v>2022</v>
      </c>
      <c r="X295" s="40">
        <f t="shared" si="89"/>
        <v>0</v>
      </c>
      <c r="Y295" s="40">
        <f t="shared" si="90"/>
        <v>0</v>
      </c>
      <c r="Z295" s="40">
        <f t="shared" si="91"/>
        <v>0</v>
      </c>
    </row>
    <row r="296" spans="1:27" s="50" customFormat="1" ht="51">
      <c r="A296" s="51" t="s">
        <v>272</v>
      </c>
      <c r="B296" s="17">
        <v>1</v>
      </c>
      <c r="C296" s="17">
        <v>2</v>
      </c>
      <c r="D296" s="17">
        <v>3</v>
      </c>
      <c r="E296" s="17">
        <v>0</v>
      </c>
      <c r="F296" s="17">
        <v>3</v>
      </c>
      <c r="G296" s="17"/>
      <c r="H296" s="53" t="s">
        <v>112</v>
      </c>
      <c r="I296" s="17" t="s">
        <v>273</v>
      </c>
      <c r="J296" s="7">
        <f>J297+J298+J299</f>
        <v>2684.1</v>
      </c>
      <c r="K296" s="7">
        <f>K297+K298</f>
        <v>16018.5</v>
      </c>
      <c r="L296" s="7">
        <f>L297+L298</f>
        <v>19000.9</v>
      </c>
      <c r="M296" s="148">
        <f aca="true" t="shared" si="99" ref="M296:U296">M297+M298+M299</f>
        <v>27997.6</v>
      </c>
      <c r="N296" s="213">
        <f t="shared" si="99"/>
        <v>26557.7</v>
      </c>
      <c r="O296" s="213">
        <f t="shared" si="99"/>
        <v>26557.7</v>
      </c>
      <c r="P296" s="213">
        <f t="shared" si="99"/>
        <v>0</v>
      </c>
      <c r="Q296" s="213">
        <f t="shared" si="99"/>
        <v>0</v>
      </c>
      <c r="R296" s="213">
        <f t="shared" si="99"/>
        <v>7869</v>
      </c>
      <c r="S296" s="213">
        <f t="shared" si="99"/>
        <v>7869</v>
      </c>
      <c r="T296" s="213">
        <f t="shared" si="99"/>
        <v>0</v>
      </c>
      <c r="U296" s="213">
        <f t="shared" si="99"/>
        <v>0</v>
      </c>
      <c r="V296" s="216">
        <f>J296+K296+L296+M296+O296+Q296+S296+T296+U296</f>
        <v>100127.8</v>
      </c>
      <c r="W296" s="308">
        <v>2022</v>
      </c>
      <c r="X296" s="40">
        <f t="shared" si="89"/>
        <v>0</v>
      </c>
      <c r="Y296" s="40">
        <f t="shared" si="90"/>
        <v>0</v>
      </c>
      <c r="Z296" s="40">
        <f t="shared" si="91"/>
        <v>0</v>
      </c>
      <c r="AA296" s="37"/>
    </row>
    <row r="297" spans="1:27" s="50" customFormat="1" ht="12.75">
      <c r="A297" s="36" t="s">
        <v>272</v>
      </c>
      <c r="B297" s="12">
        <v>1</v>
      </c>
      <c r="C297" s="12">
        <v>2</v>
      </c>
      <c r="D297" s="12">
        <v>3</v>
      </c>
      <c r="E297" s="12">
        <v>0</v>
      </c>
      <c r="F297" s="12">
        <v>3</v>
      </c>
      <c r="G297" s="12">
        <v>3</v>
      </c>
      <c r="H297" s="42" t="s">
        <v>274</v>
      </c>
      <c r="I297" s="12" t="s">
        <v>273</v>
      </c>
      <c r="J297" s="5">
        <f>287.5+877.6-231</f>
        <v>934.1</v>
      </c>
      <c r="K297" s="5">
        <v>16018.5</v>
      </c>
      <c r="L297" s="5">
        <f>19000.859-300</f>
        <v>18700.9</v>
      </c>
      <c r="M297" s="160">
        <v>20485.1</v>
      </c>
      <c r="N297" s="214">
        <f>26557730/1000</f>
        <v>26557.7</v>
      </c>
      <c r="O297" s="214">
        <f>(26557730-10000000)/1000</f>
        <v>16557.7</v>
      </c>
      <c r="P297" s="214">
        <v>0</v>
      </c>
      <c r="Q297" s="214">
        <v>0</v>
      </c>
      <c r="R297" s="214">
        <v>7869</v>
      </c>
      <c r="S297" s="214">
        <v>7869</v>
      </c>
      <c r="T297" s="214">
        <v>0</v>
      </c>
      <c r="U297" s="214">
        <v>0</v>
      </c>
      <c r="V297" s="225">
        <f>J297+K297+L297+M297+O297+Q297+S297+T297+U297</f>
        <v>80565.3</v>
      </c>
      <c r="W297" s="311">
        <v>2022</v>
      </c>
      <c r="X297" s="40">
        <f t="shared" si="89"/>
        <v>-10000</v>
      </c>
      <c r="Y297" s="40">
        <f t="shared" si="90"/>
        <v>0</v>
      </c>
      <c r="Z297" s="40">
        <f t="shared" si="91"/>
        <v>0</v>
      </c>
      <c r="AA297" s="37"/>
    </row>
    <row r="298" spans="1:27" s="50" customFormat="1" ht="12.75">
      <c r="A298" s="36" t="s">
        <v>272</v>
      </c>
      <c r="B298" s="12">
        <v>1</v>
      </c>
      <c r="C298" s="12">
        <v>2</v>
      </c>
      <c r="D298" s="12">
        <v>3</v>
      </c>
      <c r="E298" s="12">
        <v>0</v>
      </c>
      <c r="F298" s="12">
        <v>3</v>
      </c>
      <c r="G298" s="12">
        <v>2</v>
      </c>
      <c r="H298" s="42" t="s">
        <v>275</v>
      </c>
      <c r="I298" s="12" t="s">
        <v>273</v>
      </c>
      <c r="J298" s="5">
        <v>266.7</v>
      </c>
      <c r="K298" s="5">
        <v>0</v>
      </c>
      <c r="L298" s="5">
        <v>300</v>
      </c>
      <c r="M298" s="160">
        <v>7512.5</v>
      </c>
      <c r="N298" s="214">
        <v>0</v>
      </c>
      <c r="O298" s="214">
        <v>10000</v>
      </c>
      <c r="P298" s="214">
        <v>0</v>
      </c>
      <c r="Q298" s="214">
        <v>0</v>
      </c>
      <c r="R298" s="214">
        <v>0</v>
      </c>
      <c r="S298" s="214">
        <v>0</v>
      </c>
      <c r="T298" s="214">
        <v>0</v>
      </c>
      <c r="U298" s="214">
        <v>0</v>
      </c>
      <c r="V298" s="321">
        <f>SUM(J298:U298)</f>
        <v>18079.2</v>
      </c>
      <c r="W298" s="311">
        <v>2019</v>
      </c>
      <c r="X298" s="40">
        <f t="shared" si="89"/>
        <v>10000</v>
      </c>
      <c r="Y298" s="40">
        <f t="shared" si="90"/>
        <v>0</v>
      </c>
      <c r="Z298" s="40">
        <f t="shared" si="91"/>
        <v>0</v>
      </c>
      <c r="AA298" s="37"/>
    </row>
    <row r="299" spans="1:27" s="50" customFormat="1" ht="12.75">
      <c r="A299" s="36" t="s">
        <v>272</v>
      </c>
      <c r="B299" s="12">
        <v>1</v>
      </c>
      <c r="C299" s="12">
        <v>2</v>
      </c>
      <c r="D299" s="12">
        <v>3</v>
      </c>
      <c r="E299" s="12">
        <v>0</v>
      </c>
      <c r="F299" s="12">
        <v>3</v>
      </c>
      <c r="G299" s="12">
        <v>1</v>
      </c>
      <c r="H299" s="42" t="s">
        <v>276</v>
      </c>
      <c r="I299" s="12" t="s">
        <v>273</v>
      </c>
      <c r="J299" s="5">
        <v>1483.3</v>
      </c>
      <c r="K299" s="5">
        <v>0</v>
      </c>
      <c r="L299" s="5">
        <v>0</v>
      </c>
      <c r="M299" s="160">
        <v>0</v>
      </c>
      <c r="N299" s="214">
        <v>0</v>
      </c>
      <c r="O299" s="214">
        <v>0</v>
      </c>
      <c r="P299" s="214">
        <v>0</v>
      </c>
      <c r="Q299" s="214">
        <v>0</v>
      </c>
      <c r="R299" s="214">
        <v>0</v>
      </c>
      <c r="S299" s="214">
        <v>0</v>
      </c>
      <c r="T299" s="214">
        <v>0</v>
      </c>
      <c r="U299" s="214">
        <v>0</v>
      </c>
      <c r="V299" s="225">
        <f>SUM(J299:U299)</f>
        <v>1483.3</v>
      </c>
      <c r="W299" s="311">
        <v>2016</v>
      </c>
      <c r="X299" s="40">
        <f t="shared" si="89"/>
        <v>0</v>
      </c>
      <c r="Y299" s="40">
        <f t="shared" si="90"/>
        <v>0</v>
      </c>
      <c r="Z299" s="40">
        <f t="shared" si="91"/>
        <v>0</v>
      </c>
      <c r="AA299" s="37"/>
    </row>
    <row r="300" spans="1:26" ht="38.25">
      <c r="A300" s="36" t="s">
        <v>272</v>
      </c>
      <c r="B300" s="12">
        <v>1</v>
      </c>
      <c r="C300" s="12">
        <v>2</v>
      </c>
      <c r="D300" s="12">
        <v>3</v>
      </c>
      <c r="E300" s="12">
        <v>0</v>
      </c>
      <c r="F300" s="12">
        <v>3</v>
      </c>
      <c r="G300" s="14"/>
      <c r="H300" s="58" t="s">
        <v>369</v>
      </c>
      <c r="I300" s="14" t="s">
        <v>312</v>
      </c>
      <c r="J300" s="8">
        <v>1</v>
      </c>
      <c r="K300" s="8">
        <v>5</v>
      </c>
      <c r="L300" s="8">
        <v>4</v>
      </c>
      <c r="M300" s="163">
        <v>2</v>
      </c>
      <c r="N300" s="215">
        <v>1</v>
      </c>
      <c r="O300" s="215">
        <v>1</v>
      </c>
      <c r="P300" s="215">
        <v>0</v>
      </c>
      <c r="Q300" s="215">
        <v>0</v>
      </c>
      <c r="R300" s="215">
        <v>1</v>
      </c>
      <c r="S300" s="215">
        <v>1</v>
      </c>
      <c r="T300" s="215">
        <v>0</v>
      </c>
      <c r="U300" s="215">
        <v>0</v>
      </c>
      <c r="V300" s="294">
        <f>J300+K300+L300+M300+O300+Q300+S300+T300+U300</f>
        <v>14</v>
      </c>
      <c r="W300" s="312">
        <v>2022</v>
      </c>
      <c r="X300" s="40">
        <f t="shared" si="89"/>
        <v>0</v>
      </c>
      <c r="Y300" s="40">
        <f t="shared" si="90"/>
        <v>0</v>
      </c>
      <c r="Z300" s="40">
        <f t="shared" si="91"/>
        <v>0</v>
      </c>
    </row>
    <row r="301" spans="1:26" ht="38.25">
      <c r="A301" s="36" t="s">
        <v>272</v>
      </c>
      <c r="B301" s="12">
        <v>1</v>
      </c>
      <c r="C301" s="12">
        <v>2</v>
      </c>
      <c r="D301" s="12">
        <v>3</v>
      </c>
      <c r="E301" s="12">
        <v>0</v>
      </c>
      <c r="F301" s="12">
        <v>3</v>
      </c>
      <c r="G301" s="14"/>
      <c r="H301" s="75" t="s">
        <v>189</v>
      </c>
      <c r="I301" s="14" t="s">
        <v>312</v>
      </c>
      <c r="J301" s="8">
        <v>1</v>
      </c>
      <c r="K301" s="8">
        <v>4</v>
      </c>
      <c r="L301" s="8">
        <v>5</v>
      </c>
      <c r="M301" s="163">
        <v>6</v>
      </c>
      <c r="N301" s="215">
        <v>1</v>
      </c>
      <c r="O301" s="215">
        <v>1</v>
      </c>
      <c r="P301" s="215">
        <v>0</v>
      </c>
      <c r="Q301" s="215">
        <v>0</v>
      </c>
      <c r="R301" s="215">
        <v>0</v>
      </c>
      <c r="S301" s="215">
        <v>0</v>
      </c>
      <c r="T301" s="215">
        <v>0</v>
      </c>
      <c r="U301" s="215">
        <v>0</v>
      </c>
      <c r="V301" s="294">
        <f>J301+K301+L301+M301+O301+Q301+S301+T301+U301</f>
        <v>17</v>
      </c>
      <c r="W301" s="312">
        <v>2020</v>
      </c>
      <c r="X301" s="40">
        <f t="shared" si="89"/>
        <v>0</v>
      </c>
      <c r="Y301" s="40">
        <f t="shared" si="90"/>
        <v>0</v>
      </c>
      <c r="Z301" s="40">
        <f t="shared" si="91"/>
        <v>0</v>
      </c>
    </row>
    <row r="302" spans="1:26" ht="38.25">
      <c r="A302" s="36" t="s">
        <v>272</v>
      </c>
      <c r="B302" s="12">
        <v>1</v>
      </c>
      <c r="C302" s="12">
        <v>2</v>
      </c>
      <c r="D302" s="12">
        <v>3</v>
      </c>
      <c r="E302" s="12">
        <v>0</v>
      </c>
      <c r="F302" s="12">
        <v>3</v>
      </c>
      <c r="G302" s="14"/>
      <c r="H302" s="75" t="s">
        <v>188</v>
      </c>
      <c r="I302" s="14" t="s">
        <v>312</v>
      </c>
      <c r="J302" s="8">
        <v>0</v>
      </c>
      <c r="K302" s="8">
        <v>4</v>
      </c>
      <c r="L302" s="8">
        <v>3</v>
      </c>
      <c r="M302" s="163">
        <v>8</v>
      </c>
      <c r="N302" s="215">
        <v>0</v>
      </c>
      <c r="O302" s="215">
        <v>0</v>
      </c>
      <c r="P302" s="215">
        <v>0</v>
      </c>
      <c r="Q302" s="215">
        <v>0</v>
      </c>
      <c r="R302" s="215">
        <v>2</v>
      </c>
      <c r="S302" s="215">
        <v>2</v>
      </c>
      <c r="T302" s="215">
        <v>0</v>
      </c>
      <c r="U302" s="215">
        <v>0</v>
      </c>
      <c r="V302" s="294">
        <f>J302+K302+L302+M302+O302+Q302+S302+T302+U302</f>
        <v>17</v>
      </c>
      <c r="W302" s="312">
        <v>2022</v>
      </c>
      <c r="X302" s="40">
        <f t="shared" si="89"/>
        <v>0</v>
      </c>
      <c r="Y302" s="40">
        <f t="shared" si="90"/>
        <v>0</v>
      </c>
      <c r="Z302" s="40">
        <f t="shared" si="91"/>
        <v>0</v>
      </c>
    </row>
    <row r="303" spans="1:27" s="50" customFormat="1" ht="76.5">
      <c r="A303" s="51" t="s">
        <v>272</v>
      </c>
      <c r="B303" s="17">
        <v>1</v>
      </c>
      <c r="C303" s="17">
        <v>2</v>
      </c>
      <c r="D303" s="17">
        <v>3</v>
      </c>
      <c r="E303" s="17">
        <v>0</v>
      </c>
      <c r="F303" s="17">
        <v>4</v>
      </c>
      <c r="G303" s="17"/>
      <c r="H303" s="53" t="s">
        <v>113</v>
      </c>
      <c r="I303" s="17" t="s">
        <v>273</v>
      </c>
      <c r="J303" s="7">
        <f aca="true" t="shared" si="100" ref="J303:U303">J304+J305</f>
        <v>0</v>
      </c>
      <c r="K303" s="7">
        <f t="shared" si="100"/>
        <v>1864</v>
      </c>
      <c r="L303" s="7">
        <f t="shared" si="100"/>
        <v>2235.5</v>
      </c>
      <c r="M303" s="148">
        <f t="shared" si="100"/>
        <v>3399.7</v>
      </c>
      <c r="N303" s="213">
        <f t="shared" si="100"/>
        <v>417.4</v>
      </c>
      <c r="O303" s="213">
        <f t="shared" si="100"/>
        <v>417.4</v>
      </c>
      <c r="P303" s="213">
        <f t="shared" si="100"/>
        <v>0</v>
      </c>
      <c r="Q303" s="213">
        <f t="shared" si="100"/>
        <v>0</v>
      </c>
      <c r="R303" s="213">
        <f t="shared" si="100"/>
        <v>0</v>
      </c>
      <c r="S303" s="213">
        <f t="shared" si="100"/>
        <v>0</v>
      </c>
      <c r="T303" s="213">
        <f t="shared" si="100"/>
        <v>0</v>
      </c>
      <c r="U303" s="213">
        <f t="shared" si="100"/>
        <v>0</v>
      </c>
      <c r="V303" s="216">
        <f>J303+K303+L303+M303+O303+Q303+S303+T303+U303</f>
        <v>7916.6</v>
      </c>
      <c r="W303" s="308">
        <v>2020</v>
      </c>
      <c r="X303" s="40">
        <f t="shared" si="89"/>
        <v>0</v>
      </c>
      <c r="Y303" s="40">
        <f t="shared" si="90"/>
        <v>0</v>
      </c>
      <c r="Z303" s="40">
        <f t="shared" si="91"/>
        <v>0</v>
      </c>
      <c r="AA303" s="37"/>
    </row>
    <row r="304" spans="1:27" s="50" customFormat="1" ht="12.75">
      <c r="A304" s="36" t="s">
        <v>272</v>
      </c>
      <c r="B304" s="12">
        <v>1</v>
      </c>
      <c r="C304" s="12">
        <v>2</v>
      </c>
      <c r="D304" s="12">
        <v>3</v>
      </c>
      <c r="E304" s="12">
        <v>0</v>
      </c>
      <c r="F304" s="12">
        <v>4</v>
      </c>
      <c r="G304" s="12">
        <v>3</v>
      </c>
      <c r="H304" s="42" t="s">
        <v>274</v>
      </c>
      <c r="I304" s="12" t="s">
        <v>273</v>
      </c>
      <c r="J304" s="5">
        <v>0</v>
      </c>
      <c r="K304" s="5">
        <v>1464</v>
      </c>
      <c r="L304" s="5">
        <f>2235.545-299.6</f>
        <v>1935.9</v>
      </c>
      <c r="M304" s="160">
        <v>3086.6</v>
      </c>
      <c r="N304" s="214">
        <f>417389.95/1000</f>
        <v>417.4</v>
      </c>
      <c r="O304" s="214">
        <f>417389.95/1000</f>
        <v>417.4</v>
      </c>
      <c r="P304" s="214">
        <v>0</v>
      </c>
      <c r="Q304" s="214">
        <v>0</v>
      </c>
      <c r="R304" s="214">
        <v>0</v>
      </c>
      <c r="S304" s="214">
        <v>0</v>
      </c>
      <c r="T304" s="214">
        <v>0</v>
      </c>
      <c r="U304" s="214">
        <v>0</v>
      </c>
      <c r="V304" s="217">
        <f>J304+K304+L304+M304+O304+Q304+S304+T304+U304</f>
        <v>6903.9</v>
      </c>
      <c r="W304" s="311">
        <v>2020</v>
      </c>
      <c r="X304" s="40">
        <f t="shared" si="89"/>
        <v>0</v>
      </c>
      <c r="Y304" s="40">
        <f t="shared" si="90"/>
        <v>0</v>
      </c>
      <c r="Z304" s="40">
        <f t="shared" si="91"/>
        <v>0</v>
      </c>
      <c r="AA304" s="37"/>
    </row>
    <row r="305" spans="1:27" s="50" customFormat="1" ht="12.75">
      <c r="A305" s="36" t="s">
        <v>272</v>
      </c>
      <c r="B305" s="12">
        <v>1</v>
      </c>
      <c r="C305" s="12">
        <v>2</v>
      </c>
      <c r="D305" s="12">
        <v>3</v>
      </c>
      <c r="E305" s="12">
        <v>0</v>
      </c>
      <c r="F305" s="12">
        <v>4</v>
      </c>
      <c r="G305" s="12">
        <v>2</v>
      </c>
      <c r="H305" s="42" t="s">
        <v>275</v>
      </c>
      <c r="I305" s="12" t="s">
        <v>273</v>
      </c>
      <c r="J305" s="5">
        <v>0</v>
      </c>
      <c r="K305" s="5">
        <v>400</v>
      </c>
      <c r="L305" s="5">
        <v>299.6</v>
      </c>
      <c r="M305" s="160">
        <v>313.1</v>
      </c>
      <c r="N305" s="214">
        <v>0</v>
      </c>
      <c r="O305" s="214">
        <v>0</v>
      </c>
      <c r="P305" s="214">
        <v>0</v>
      </c>
      <c r="Q305" s="214">
        <v>0</v>
      </c>
      <c r="R305" s="214">
        <v>0</v>
      </c>
      <c r="S305" s="214">
        <v>0</v>
      </c>
      <c r="T305" s="214">
        <v>0</v>
      </c>
      <c r="U305" s="214">
        <v>0</v>
      </c>
      <c r="V305" s="217">
        <f>SUM(J305:U305)</f>
        <v>1012.7</v>
      </c>
      <c r="W305" s="311">
        <v>2018</v>
      </c>
      <c r="X305" s="40">
        <f t="shared" si="89"/>
        <v>0</v>
      </c>
      <c r="Y305" s="40">
        <f t="shared" si="90"/>
        <v>0</v>
      </c>
      <c r="Z305" s="40">
        <f t="shared" si="91"/>
        <v>0</v>
      </c>
      <c r="AA305" s="37"/>
    </row>
    <row r="306" spans="1:26" ht="38.25">
      <c r="A306" s="36" t="s">
        <v>272</v>
      </c>
      <c r="B306" s="12">
        <v>1</v>
      </c>
      <c r="C306" s="12">
        <v>2</v>
      </c>
      <c r="D306" s="12">
        <v>3</v>
      </c>
      <c r="E306" s="12">
        <v>0</v>
      </c>
      <c r="F306" s="12">
        <v>4</v>
      </c>
      <c r="G306" s="14"/>
      <c r="H306" s="58" t="s">
        <v>370</v>
      </c>
      <c r="I306" s="14" t="s">
        <v>312</v>
      </c>
      <c r="J306" s="8">
        <v>0</v>
      </c>
      <c r="K306" s="8">
        <v>7</v>
      </c>
      <c r="L306" s="8">
        <v>8</v>
      </c>
      <c r="M306" s="163">
        <v>2</v>
      </c>
      <c r="N306" s="215">
        <v>2</v>
      </c>
      <c r="O306" s="215">
        <v>2</v>
      </c>
      <c r="P306" s="215">
        <v>0</v>
      </c>
      <c r="Q306" s="215">
        <v>0</v>
      </c>
      <c r="R306" s="215">
        <v>0</v>
      </c>
      <c r="S306" s="215">
        <v>0</v>
      </c>
      <c r="T306" s="215">
        <v>0</v>
      </c>
      <c r="U306" s="215">
        <v>0</v>
      </c>
      <c r="V306" s="223">
        <f aca="true" t="shared" si="101" ref="V306:V316">J306+K306+L306+M306+O306+Q306+S306+T306+U306</f>
        <v>19</v>
      </c>
      <c r="W306" s="312">
        <v>2021</v>
      </c>
      <c r="X306" s="40">
        <f t="shared" si="89"/>
        <v>0</v>
      </c>
      <c r="Y306" s="40">
        <f t="shared" si="90"/>
        <v>0</v>
      </c>
      <c r="Z306" s="40">
        <f t="shared" si="91"/>
        <v>0</v>
      </c>
    </row>
    <row r="307" spans="1:26" ht="38.25">
      <c r="A307" s="36" t="s">
        <v>272</v>
      </c>
      <c r="B307" s="12">
        <v>1</v>
      </c>
      <c r="C307" s="12">
        <v>2</v>
      </c>
      <c r="D307" s="12">
        <v>3</v>
      </c>
      <c r="E307" s="12">
        <v>0</v>
      </c>
      <c r="F307" s="12">
        <v>4</v>
      </c>
      <c r="G307" s="74"/>
      <c r="H307" s="75" t="s">
        <v>190</v>
      </c>
      <c r="I307" s="74" t="s">
        <v>312</v>
      </c>
      <c r="J307" s="76">
        <v>0</v>
      </c>
      <c r="K307" s="76">
        <v>7</v>
      </c>
      <c r="L307" s="76">
        <v>11</v>
      </c>
      <c r="M307" s="180">
        <v>17</v>
      </c>
      <c r="N307" s="246">
        <v>0</v>
      </c>
      <c r="O307" s="246">
        <v>0</v>
      </c>
      <c r="P307" s="246">
        <v>0</v>
      </c>
      <c r="Q307" s="246">
        <v>0</v>
      </c>
      <c r="R307" s="246">
        <v>0</v>
      </c>
      <c r="S307" s="246">
        <v>0</v>
      </c>
      <c r="T307" s="246">
        <v>0</v>
      </c>
      <c r="U307" s="246">
        <v>0</v>
      </c>
      <c r="V307" s="223">
        <f t="shared" si="101"/>
        <v>35</v>
      </c>
      <c r="W307" s="312">
        <v>2020</v>
      </c>
      <c r="X307" s="40">
        <f t="shared" si="89"/>
        <v>0</v>
      </c>
      <c r="Y307" s="40">
        <f t="shared" si="90"/>
        <v>0</v>
      </c>
      <c r="Z307" s="40">
        <f t="shared" si="91"/>
        <v>0</v>
      </c>
    </row>
    <row r="308" spans="1:27" s="50" customFormat="1" ht="63.75">
      <c r="A308" s="51" t="s">
        <v>272</v>
      </c>
      <c r="B308" s="17">
        <v>1</v>
      </c>
      <c r="C308" s="17">
        <v>2</v>
      </c>
      <c r="D308" s="17">
        <v>3</v>
      </c>
      <c r="E308" s="17">
        <v>0</v>
      </c>
      <c r="F308" s="17">
        <v>5</v>
      </c>
      <c r="G308" s="17"/>
      <c r="H308" s="53" t="s">
        <v>114</v>
      </c>
      <c r="I308" s="17" t="s">
        <v>273</v>
      </c>
      <c r="J308" s="7">
        <f aca="true" t="shared" si="102" ref="J308:U308">J309</f>
        <v>0</v>
      </c>
      <c r="K308" s="7">
        <f t="shared" si="102"/>
        <v>4730.5</v>
      </c>
      <c r="L308" s="7">
        <f t="shared" si="102"/>
        <v>7394.7</v>
      </c>
      <c r="M308" s="148">
        <f t="shared" si="102"/>
        <v>6918.6</v>
      </c>
      <c r="N308" s="213">
        <f t="shared" si="102"/>
        <v>23548</v>
      </c>
      <c r="O308" s="213">
        <f t="shared" si="102"/>
        <v>23547.9</v>
      </c>
      <c r="P308" s="213">
        <f t="shared" si="102"/>
        <v>35568</v>
      </c>
      <c r="Q308" s="213">
        <f t="shared" si="102"/>
        <v>35568</v>
      </c>
      <c r="R308" s="213">
        <f t="shared" si="102"/>
        <v>0</v>
      </c>
      <c r="S308" s="213">
        <f t="shared" si="102"/>
        <v>0</v>
      </c>
      <c r="T308" s="213">
        <f t="shared" si="102"/>
        <v>0</v>
      </c>
      <c r="U308" s="213">
        <f t="shared" si="102"/>
        <v>0</v>
      </c>
      <c r="V308" s="216">
        <f t="shared" si="101"/>
        <v>78159.7</v>
      </c>
      <c r="W308" s="308">
        <v>2021</v>
      </c>
      <c r="X308" s="40">
        <f t="shared" si="89"/>
        <v>-0.1</v>
      </c>
      <c r="Y308" s="40">
        <f t="shared" si="90"/>
        <v>0</v>
      </c>
      <c r="Z308" s="40">
        <f t="shared" si="91"/>
        <v>0</v>
      </c>
      <c r="AA308" s="37"/>
    </row>
    <row r="309" spans="1:27" s="50" customFormat="1" ht="12.75">
      <c r="A309" s="36" t="s">
        <v>272</v>
      </c>
      <c r="B309" s="12">
        <v>1</v>
      </c>
      <c r="C309" s="12">
        <v>2</v>
      </c>
      <c r="D309" s="12">
        <v>3</v>
      </c>
      <c r="E309" s="12">
        <v>0</v>
      </c>
      <c r="F309" s="12">
        <v>5</v>
      </c>
      <c r="G309" s="12">
        <v>3</v>
      </c>
      <c r="H309" s="42" t="s">
        <v>274</v>
      </c>
      <c r="I309" s="12" t="s">
        <v>273</v>
      </c>
      <c r="J309" s="5">
        <v>0</v>
      </c>
      <c r="K309" s="5">
        <v>4730.5</v>
      </c>
      <c r="L309" s="5">
        <v>7394.7</v>
      </c>
      <c r="M309" s="160">
        <v>6918.6</v>
      </c>
      <c r="N309" s="214">
        <f>23548009/1000</f>
        <v>23548</v>
      </c>
      <c r="O309" s="214">
        <v>23547.9</v>
      </c>
      <c r="P309" s="214">
        <v>35568</v>
      </c>
      <c r="Q309" s="214">
        <v>35568</v>
      </c>
      <c r="R309" s="214">
        <v>0</v>
      </c>
      <c r="S309" s="214">
        <v>0</v>
      </c>
      <c r="T309" s="214">
        <v>0</v>
      </c>
      <c r="U309" s="214">
        <v>0</v>
      </c>
      <c r="V309" s="217">
        <f t="shared" si="101"/>
        <v>78159.7</v>
      </c>
      <c r="W309" s="311">
        <v>2021</v>
      </c>
      <c r="X309" s="40">
        <f t="shared" si="89"/>
        <v>-0.1</v>
      </c>
      <c r="Y309" s="40">
        <f t="shared" si="90"/>
        <v>0</v>
      </c>
      <c r="Z309" s="40">
        <f t="shared" si="91"/>
        <v>0</v>
      </c>
      <c r="AA309" s="37"/>
    </row>
    <row r="310" spans="1:26" ht="38.25">
      <c r="A310" s="36" t="s">
        <v>272</v>
      </c>
      <c r="B310" s="12">
        <v>1</v>
      </c>
      <c r="C310" s="12">
        <v>2</v>
      </c>
      <c r="D310" s="12">
        <v>3</v>
      </c>
      <c r="E310" s="12">
        <v>0</v>
      </c>
      <c r="F310" s="12">
        <v>5</v>
      </c>
      <c r="G310" s="14"/>
      <c r="H310" s="58" t="s">
        <v>371</v>
      </c>
      <c r="I310" s="14" t="s">
        <v>312</v>
      </c>
      <c r="J310" s="8">
        <v>0</v>
      </c>
      <c r="K310" s="8">
        <v>0</v>
      </c>
      <c r="L310" s="8">
        <v>0</v>
      </c>
      <c r="M310" s="163">
        <v>5</v>
      </c>
      <c r="N310" s="215">
        <v>0</v>
      </c>
      <c r="O310" s="215">
        <v>0</v>
      </c>
      <c r="P310" s="215">
        <v>0</v>
      </c>
      <c r="Q310" s="215">
        <v>0</v>
      </c>
      <c r="R310" s="215">
        <v>0</v>
      </c>
      <c r="S310" s="215">
        <v>0</v>
      </c>
      <c r="T310" s="215">
        <v>0</v>
      </c>
      <c r="U310" s="215">
        <v>0</v>
      </c>
      <c r="V310" s="223">
        <f t="shared" si="101"/>
        <v>5</v>
      </c>
      <c r="W310" s="312">
        <v>2020</v>
      </c>
      <c r="X310" s="40">
        <f t="shared" si="89"/>
        <v>0</v>
      </c>
      <c r="Y310" s="40">
        <f t="shared" si="90"/>
        <v>0</v>
      </c>
      <c r="Z310" s="40">
        <f t="shared" si="91"/>
        <v>0</v>
      </c>
    </row>
    <row r="311" spans="1:26" ht="63.75">
      <c r="A311" s="36" t="s">
        <v>272</v>
      </c>
      <c r="B311" s="12">
        <v>1</v>
      </c>
      <c r="C311" s="12">
        <v>2</v>
      </c>
      <c r="D311" s="12">
        <v>3</v>
      </c>
      <c r="E311" s="12">
        <v>0</v>
      </c>
      <c r="F311" s="12">
        <v>5</v>
      </c>
      <c r="G311" s="14"/>
      <c r="H311" s="58" t="s">
        <v>393</v>
      </c>
      <c r="I311" s="14" t="s">
        <v>312</v>
      </c>
      <c r="J311" s="8">
        <v>0</v>
      </c>
      <c r="K311" s="8">
        <v>10</v>
      </c>
      <c r="L311" s="8">
        <v>10</v>
      </c>
      <c r="M311" s="163">
        <v>36</v>
      </c>
      <c r="N311" s="215">
        <v>0</v>
      </c>
      <c r="O311" s="215">
        <v>0</v>
      </c>
      <c r="P311" s="215">
        <v>1</v>
      </c>
      <c r="Q311" s="215">
        <v>1</v>
      </c>
      <c r="R311" s="215">
        <v>0</v>
      </c>
      <c r="S311" s="215">
        <v>0</v>
      </c>
      <c r="T311" s="215">
        <v>0</v>
      </c>
      <c r="U311" s="215">
        <v>0</v>
      </c>
      <c r="V311" s="223">
        <f t="shared" si="101"/>
        <v>57</v>
      </c>
      <c r="W311" s="312">
        <v>2020</v>
      </c>
      <c r="X311" s="40">
        <f t="shared" si="89"/>
        <v>0</v>
      </c>
      <c r="Y311" s="40">
        <f t="shared" si="90"/>
        <v>0</v>
      </c>
      <c r="Z311" s="40">
        <f t="shared" si="91"/>
        <v>0</v>
      </c>
    </row>
    <row r="312" spans="1:26" ht="51">
      <c r="A312" s="36" t="s">
        <v>272</v>
      </c>
      <c r="B312" s="12">
        <v>1</v>
      </c>
      <c r="C312" s="12">
        <v>2</v>
      </c>
      <c r="D312" s="12">
        <v>3</v>
      </c>
      <c r="E312" s="12">
        <v>0</v>
      </c>
      <c r="F312" s="12">
        <v>5</v>
      </c>
      <c r="G312" s="14"/>
      <c r="H312" s="58" t="s">
        <v>394</v>
      </c>
      <c r="I312" s="14" t="s">
        <v>312</v>
      </c>
      <c r="J312" s="8">
        <v>0</v>
      </c>
      <c r="K312" s="8">
        <v>12</v>
      </c>
      <c r="L312" s="8">
        <v>16</v>
      </c>
      <c r="M312" s="163">
        <v>68</v>
      </c>
      <c r="N312" s="215">
        <v>52</v>
      </c>
      <c r="O312" s="215">
        <v>52</v>
      </c>
      <c r="P312" s="215">
        <v>78</v>
      </c>
      <c r="Q312" s="215">
        <v>78</v>
      </c>
      <c r="R312" s="215">
        <v>0</v>
      </c>
      <c r="S312" s="215">
        <v>0</v>
      </c>
      <c r="T312" s="215">
        <v>0</v>
      </c>
      <c r="U312" s="215">
        <v>0</v>
      </c>
      <c r="V312" s="223">
        <f t="shared" si="101"/>
        <v>226</v>
      </c>
      <c r="W312" s="312">
        <v>2020</v>
      </c>
      <c r="X312" s="40">
        <f t="shared" si="89"/>
        <v>0</v>
      </c>
      <c r="Y312" s="40">
        <f t="shared" si="90"/>
        <v>0</v>
      </c>
      <c r="Z312" s="40">
        <f t="shared" si="91"/>
        <v>0</v>
      </c>
    </row>
    <row r="313" spans="1:26" ht="76.5">
      <c r="A313" s="36" t="s">
        <v>272</v>
      </c>
      <c r="B313" s="12">
        <v>1</v>
      </c>
      <c r="C313" s="12">
        <v>2</v>
      </c>
      <c r="D313" s="12">
        <v>3</v>
      </c>
      <c r="E313" s="12">
        <v>0</v>
      </c>
      <c r="F313" s="12">
        <v>5</v>
      </c>
      <c r="G313" s="14"/>
      <c r="H313" s="58" t="s">
        <v>395</v>
      </c>
      <c r="I313" s="14" t="s">
        <v>312</v>
      </c>
      <c r="J313" s="8">
        <v>0</v>
      </c>
      <c r="K313" s="8">
        <v>0</v>
      </c>
      <c r="L313" s="8">
        <v>1</v>
      </c>
      <c r="M313" s="163">
        <v>5</v>
      </c>
      <c r="N313" s="215">
        <v>0</v>
      </c>
      <c r="O313" s="215">
        <v>0</v>
      </c>
      <c r="P313" s="215">
        <v>0</v>
      </c>
      <c r="Q313" s="215">
        <v>0</v>
      </c>
      <c r="R313" s="215">
        <v>0</v>
      </c>
      <c r="S313" s="215">
        <v>0</v>
      </c>
      <c r="T313" s="215">
        <v>0</v>
      </c>
      <c r="U313" s="215">
        <v>0</v>
      </c>
      <c r="V313" s="223">
        <f t="shared" si="101"/>
        <v>6</v>
      </c>
      <c r="W313" s="312">
        <v>2020</v>
      </c>
      <c r="X313" s="40">
        <f t="shared" si="89"/>
        <v>0</v>
      </c>
      <c r="Y313" s="40">
        <f t="shared" si="90"/>
        <v>0</v>
      </c>
      <c r="Z313" s="40">
        <f t="shared" si="91"/>
        <v>0</v>
      </c>
    </row>
    <row r="314" spans="1:26" ht="38.25">
      <c r="A314" s="36" t="s">
        <v>272</v>
      </c>
      <c r="B314" s="12">
        <v>1</v>
      </c>
      <c r="C314" s="12">
        <v>2</v>
      </c>
      <c r="D314" s="12">
        <v>3</v>
      </c>
      <c r="E314" s="12">
        <v>0</v>
      </c>
      <c r="F314" s="12">
        <v>5</v>
      </c>
      <c r="G314" s="14"/>
      <c r="H314" s="58" t="s">
        <v>396</v>
      </c>
      <c r="I314" s="14" t="s">
        <v>312</v>
      </c>
      <c r="J314" s="8">
        <v>0</v>
      </c>
      <c r="K314" s="8">
        <v>8</v>
      </c>
      <c r="L314" s="8">
        <v>13</v>
      </c>
      <c r="M314" s="163">
        <v>19</v>
      </c>
      <c r="N314" s="215">
        <v>1</v>
      </c>
      <c r="O314" s="215">
        <v>1</v>
      </c>
      <c r="P314" s="215">
        <v>0</v>
      </c>
      <c r="Q314" s="215">
        <v>0</v>
      </c>
      <c r="R314" s="215">
        <v>0</v>
      </c>
      <c r="S314" s="215">
        <v>0</v>
      </c>
      <c r="T314" s="215">
        <v>0</v>
      </c>
      <c r="U314" s="215">
        <v>0</v>
      </c>
      <c r="V314" s="223">
        <f t="shared" si="101"/>
        <v>41</v>
      </c>
      <c r="W314" s="312">
        <v>2021</v>
      </c>
      <c r="X314" s="40">
        <f t="shared" si="89"/>
        <v>0</v>
      </c>
      <c r="Y314" s="40">
        <f t="shared" si="90"/>
        <v>0</v>
      </c>
      <c r="Z314" s="40">
        <f t="shared" si="91"/>
        <v>0</v>
      </c>
    </row>
    <row r="315" spans="1:27" s="50" customFormat="1" ht="63.75">
      <c r="A315" s="51" t="s">
        <v>272</v>
      </c>
      <c r="B315" s="17">
        <v>1</v>
      </c>
      <c r="C315" s="17">
        <v>2</v>
      </c>
      <c r="D315" s="17">
        <v>3</v>
      </c>
      <c r="E315" s="17">
        <v>0</v>
      </c>
      <c r="F315" s="17">
        <v>6</v>
      </c>
      <c r="G315" s="17"/>
      <c r="H315" s="53" t="s">
        <v>115</v>
      </c>
      <c r="I315" s="17" t="s">
        <v>273</v>
      </c>
      <c r="J315" s="7">
        <f aca="true" t="shared" si="103" ref="J315:U315">J316+J317</f>
        <v>254.6</v>
      </c>
      <c r="K315" s="7">
        <f t="shared" si="103"/>
        <v>13185.2</v>
      </c>
      <c r="L315" s="7">
        <f t="shared" si="103"/>
        <v>7867.3</v>
      </c>
      <c r="M315" s="148">
        <f t="shared" si="103"/>
        <v>14411.8</v>
      </c>
      <c r="N315" s="213">
        <f t="shared" si="103"/>
        <v>3208.2</v>
      </c>
      <c r="O315" s="213">
        <f t="shared" si="103"/>
        <v>3334.8</v>
      </c>
      <c r="P315" s="213">
        <f t="shared" si="103"/>
        <v>10836.7</v>
      </c>
      <c r="Q315" s="213">
        <f t="shared" si="103"/>
        <v>10836.7</v>
      </c>
      <c r="R315" s="213">
        <f t="shared" si="103"/>
        <v>12140.5</v>
      </c>
      <c r="S315" s="213">
        <f t="shared" si="103"/>
        <v>12140.5</v>
      </c>
      <c r="T315" s="213">
        <f t="shared" si="103"/>
        <v>12960</v>
      </c>
      <c r="U315" s="213">
        <f t="shared" si="103"/>
        <v>10260</v>
      </c>
      <c r="V315" s="216">
        <f t="shared" si="101"/>
        <v>85250.9</v>
      </c>
      <c r="W315" s="308">
        <v>2024</v>
      </c>
      <c r="X315" s="40">
        <f t="shared" si="89"/>
        <v>126.6</v>
      </c>
      <c r="Y315" s="40">
        <f t="shared" si="90"/>
        <v>0</v>
      </c>
      <c r="Z315" s="40">
        <f t="shared" si="91"/>
        <v>0</v>
      </c>
      <c r="AA315" s="37"/>
    </row>
    <row r="316" spans="1:27" s="50" customFormat="1" ht="12.75">
      <c r="A316" s="36" t="s">
        <v>272</v>
      </c>
      <c r="B316" s="12">
        <v>1</v>
      </c>
      <c r="C316" s="12">
        <v>2</v>
      </c>
      <c r="D316" s="12">
        <v>3</v>
      </c>
      <c r="E316" s="12">
        <v>0</v>
      </c>
      <c r="F316" s="12">
        <v>6</v>
      </c>
      <c r="G316" s="12">
        <v>3</v>
      </c>
      <c r="H316" s="42" t="s">
        <v>274</v>
      </c>
      <c r="I316" s="12" t="s">
        <v>273</v>
      </c>
      <c r="J316" s="5">
        <f>200+54.6</f>
        <v>254.6</v>
      </c>
      <c r="K316" s="5">
        <v>13095.1</v>
      </c>
      <c r="L316" s="5">
        <v>7867.3</v>
      </c>
      <c r="M316" s="160">
        <v>14411.8</v>
      </c>
      <c r="N316" s="214">
        <f>3208238.4/1000</f>
        <v>3208.2</v>
      </c>
      <c r="O316" s="214">
        <v>3334.8</v>
      </c>
      <c r="P316" s="214">
        <v>10836.7</v>
      </c>
      <c r="Q316" s="214">
        <v>10836.7</v>
      </c>
      <c r="R316" s="214">
        <v>12140.5</v>
      </c>
      <c r="S316" s="214">
        <v>12140.5</v>
      </c>
      <c r="T316" s="214">
        <v>12960</v>
      </c>
      <c r="U316" s="214">
        <v>10260</v>
      </c>
      <c r="V316" s="217">
        <f t="shared" si="101"/>
        <v>85160.8</v>
      </c>
      <c r="W316" s="311">
        <v>2024</v>
      </c>
      <c r="X316" s="40">
        <f t="shared" si="89"/>
        <v>126.6</v>
      </c>
      <c r="Y316" s="40">
        <f t="shared" si="90"/>
        <v>0</v>
      </c>
      <c r="Z316" s="40">
        <f t="shared" si="91"/>
        <v>0</v>
      </c>
      <c r="AA316" s="37"/>
    </row>
    <row r="317" spans="1:27" s="50" customFormat="1" ht="12.75">
      <c r="A317" s="36" t="s">
        <v>272</v>
      </c>
      <c r="B317" s="12">
        <v>1</v>
      </c>
      <c r="C317" s="12">
        <v>2</v>
      </c>
      <c r="D317" s="12">
        <v>3</v>
      </c>
      <c r="E317" s="12">
        <v>0</v>
      </c>
      <c r="F317" s="12">
        <v>6</v>
      </c>
      <c r="G317" s="12">
        <v>2</v>
      </c>
      <c r="H317" s="42" t="s">
        <v>275</v>
      </c>
      <c r="I317" s="12" t="s">
        <v>273</v>
      </c>
      <c r="J317" s="5">
        <v>0</v>
      </c>
      <c r="K317" s="5">
        <v>90.1</v>
      </c>
      <c r="L317" s="5">
        <v>0</v>
      </c>
      <c r="M317" s="160">
        <v>0</v>
      </c>
      <c r="N317" s="214">
        <v>0</v>
      </c>
      <c r="O317" s="214">
        <v>0</v>
      </c>
      <c r="P317" s="214">
        <v>0</v>
      </c>
      <c r="Q317" s="214">
        <v>0</v>
      </c>
      <c r="R317" s="214">
        <v>0</v>
      </c>
      <c r="S317" s="214">
        <v>0</v>
      </c>
      <c r="T317" s="214">
        <v>0</v>
      </c>
      <c r="U317" s="214">
        <v>0</v>
      </c>
      <c r="V317" s="217">
        <f>SUM(J317:U317)</f>
        <v>90.1</v>
      </c>
      <c r="W317" s="311">
        <v>2017</v>
      </c>
      <c r="X317" s="40">
        <f t="shared" si="89"/>
        <v>0</v>
      </c>
      <c r="Y317" s="40">
        <f t="shared" si="90"/>
        <v>0</v>
      </c>
      <c r="Z317" s="40">
        <f t="shared" si="91"/>
        <v>0</v>
      </c>
      <c r="AA317" s="37"/>
    </row>
    <row r="318" spans="1:26" ht="51">
      <c r="A318" s="36" t="s">
        <v>272</v>
      </c>
      <c r="B318" s="12">
        <v>1</v>
      </c>
      <c r="C318" s="12">
        <v>2</v>
      </c>
      <c r="D318" s="12">
        <v>3</v>
      </c>
      <c r="E318" s="12">
        <v>0</v>
      </c>
      <c r="F318" s="12">
        <v>6</v>
      </c>
      <c r="G318" s="14"/>
      <c r="H318" s="58" t="s">
        <v>397</v>
      </c>
      <c r="I318" s="14" t="s">
        <v>312</v>
      </c>
      <c r="J318" s="8">
        <v>0</v>
      </c>
      <c r="K318" s="8">
        <v>5</v>
      </c>
      <c r="L318" s="16">
        <v>2</v>
      </c>
      <c r="M318" s="163">
        <v>1</v>
      </c>
      <c r="N318" s="215">
        <v>2</v>
      </c>
      <c r="O318" s="215">
        <v>2</v>
      </c>
      <c r="P318" s="215">
        <v>0</v>
      </c>
      <c r="Q318" s="215">
        <v>0</v>
      </c>
      <c r="R318" s="215">
        <v>0</v>
      </c>
      <c r="S318" s="215">
        <v>0</v>
      </c>
      <c r="T318" s="215">
        <v>0</v>
      </c>
      <c r="U318" s="215">
        <v>0</v>
      </c>
      <c r="V318" s="223">
        <f>J318+K318+L318+M318+O318+Q318+S318+T318+U318</f>
        <v>10</v>
      </c>
      <c r="W318" s="312">
        <v>2021</v>
      </c>
      <c r="X318" s="40">
        <f t="shared" si="89"/>
        <v>0</v>
      </c>
      <c r="Y318" s="40">
        <f t="shared" si="90"/>
        <v>0</v>
      </c>
      <c r="Z318" s="40">
        <f t="shared" si="91"/>
        <v>0</v>
      </c>
    </row>
    <row r="319" spans="1:26" ht="51">
      <c r="A319" s="36" t="s">
        <v>272</v>
      </c>
      <c r="B319" s="12">
        <v>1</v>
      </c>
      <c r="C319" s="12">
        <v>2</v>
      </c>
      <c r="D319" s="12">
        <v>3</v>
      </c>
      <c r="E319" s="12">
        <v>0</v>
      </c>
      <c r="F319" s="12">
        <v>6</v>
      </c>
      <c r="G319" s="14"/>
      <c r="H319" s="58" t="s">
        <v>398</v>
      </c>
      <c r="I319" s="14" t="s">
        <v>312</v>
      </c>
      <c r="J319" s="16">
        <v>2</v>
      </c>
      <c r="K319" s="16">
        <v>9</v>
      </c>
      <c r="L319" s="16">
        <v>13</v>
      </c>
      <c r="M319" s="175">
        <v>12</v>
      </c>
      <c r="N319" s="238">
        <v>0</v>
      </c>
      <c r="O319" s="238">
        <v>1</v>
      </c>
      <c r="P319" s="238">
        <v>0</v>
      </c>
      <c r="Q319" s="238">
        <v>0</v>
      </c>
      <c r="R319" s="238">
        <v>0</v>
      </c>
      <c r="S319" s="238">
        <v>0</v>
      </c>
      <c r="T319" s="238">
        <v>0</v>
      </c>
      <c r="U319" s="238">
        <v>0</v>
      </c>
      <c r="V319" s="223">
        <f aca="true" t="shared" si="104" ref="V319:V326">J319+K319+L319+M319+O319+Q319+S319+T319+U319</f>
        <v>37</v>
      </c>
      <c r="W319" s="312">
        <v>2021</v>
      </c>
      <c r="X319" s="40">
        <f t="shared" si="89"/>
        <v>1</v>
      </c>
      <c r="Y319" s="40">
        <f t="shared" si="90"/>
        <v>0</v>
      </c>
      <c r="Z319" s="40">
        <f t="shared" si="91"/>
        <v>0</v>
      </c>
    </row>
    <row r="320" spans="1:26" ht="51">
      <c r="A320" s="36" t="s">
        <v>272</v>
      </c>
      <c r="B320" s="12">
        <v>1</v>
      </c>
      <c r="C320" s="12">
        <v>2</v>
      </c>
      <c r="D320" s="12">
        <v>3</v>
      </c>
      <c r="E320" s="12">
        <v>0</v>
      </c>
      <c r="F320" s="12">
        <v>6</v>
      </c>
      <c r="G320" s="14"/>
      <c r="H320" s="58" t="s">
        <v>399</v>
      </c>
      <c r="I320" s="14" t="s">
        <v>312</v>
      </c>
      <c r="J320" s="8">
        <v>0</v>
      </c>
      <c r="K320" s="8">
        <v>2</v>
      </c>
      <c r="L320" s="8">
        <v>1</v>
      </c>
      <c r="M320" s="163">
        <v>2</v>
      </c>
      <c r="N320" s="215">
        <v>0</v>
      </c>
      <c r="O320" s="215">
        <v>0</v>
      </c>
      <c r="P320" s="215">
        <v>3</v>
      </c>
      <c r="Q320" s="215">
        <v>3</v>
      </c>
      <c r="R320" s="215">
        <v>3</v>
      </c>
      <c r="S320" s="215">
        <v>3</v>
      </c>
      <c r="T320" s="215">
        <v>0</v>
      </c>
      <c r="U320" s="215">
        <v>0</v>
      </c>
      <c r="V320" s="223">
        <f t="shared" si="104"/>
        <v>11</v>
      </c>
      <c r="W320" s="312">
        <v>2022</v>
      </c>
      <c r="X320" s="40">
        <f t="shared" si="89"/>
        <v>0</v>
      </c>
      <c r="Y320" s="40">
        <f t="shared" si="90"/>
        <v>0</v>
      </c>
      <c r="Z320" s="40">
        <f t="shared" si="91"/>
        <v>0</v>
      </c>
    </row>
    <row r="321" spans="1:26" ht="38.25">
      <c r="A321" s="36" t="s">
        <v>272</v>
      </c>
      <c r="B321" s="12">
        <v>1</v>
      </c>
      <c r="C321" s="12">
        <v>2</v>
      </c>
      <c r="D321" s="12">
        <v>3</v>
      </c>
      <c r="E321" s="12">
        <v>0</v>
      </c>
      <c r="F321" s="12">
        <v>6</v>
      </c>
      <c r="G321" s="14"/>
      <c r="H321" s="58" t="s">
        <v>400</v>
      </c>
      <c r="I321" s="14" t="s">
        <v>312</v>
      </c>
      <c r="J321" s="8">
        <v>0</v>
      </c>
      <c r="K321" s="8">
        <v>44</v>
      </c>
      <c r="L321" s="8">
        <v>17</v>
      </c>
      <c r="M321" s="163">
        <v>9</v>
      </c>
      <c r="N321" s="215">
        <v>0</v>
      </c>
      <c r="O321" s="215">
        <v>0</v>
      </c>
      <c r="P321" s="215">
        <v>0</v>
      </c>
      <c r="Q321" s="215">
        <v>0</v>
      </c>
      <c r="R321" s="215">
        <v>4</v>
      </c>
      <c r="S321" s="215">
        <v>4</v>
      </c>
      <c r="T321" s="215">
        <v>0</v>
      </c>
      <c r="U321" s="215">
        <v>0</v>
      </c>
      <c r="V321" s="223">
        <f t="shared" si="104"/>
        <v>74</v>
      </c>
      <c r="W321" s="312">
        <v>2022</v>
      </c>
      <c r="X321" s="40">
        <f t="shared" si="89"/>
        <v>0</v>
      </c>
      <c r="Y321" s="40">
        <f t="shared" si="90"/>
        <v>0</v>
      </c>
      <c r="Z321" s="40">
        <f t="shared" si="91"/>
        <v>0</v>
      </c>
    </row>
    <row r="322" spans="1:26" ht="51">
      <c r="A322" s="36" t="s">
        <v>272</v>
      </c>
      <c r="B322" s="12">
        <v>1</v>
      </c>
      <c r="C322" s="12">
        <v>2</v>
      </c>
      <c r="D322" s="12">
        <v>3</v>
      </c>
      <c r="E322" s="12">
        <v>0</v>
      </c>
      <c r="F322" s="12">
        <v>6</v>
      </c>
      <c r="G322" s="14"/>
      <c r="H322" s="58" t="s">
        <v>401</v>
      </c>
      <c r="I322" s="14" t="s">
        <v>312</v>
      </c>
      <c r="J322" s="8">
        <v>0</v>
      </c>
      <c r="K322" s="8">
        <v>4</v>
      </c>
      <c r="L322" s="8">
        <v>7</v>
      </c>
      <c r="M322" s="163">
        <v>10</v>
      </c>
      <c r="N322" s="215">
        <v>0</v>
      </c>
      <c r="O322" s="215">
        <v>0</v>
      </c>
      <c r="P322" s="215">
        <v>0</v>
      </c>
      <c r="Q322" s="215">
        <v>0</v>
      </c>
      <c r="R322" s="215">
        <v>2</v>
      </c>
      <c r="S322" s="215">
        <v>2</v>
      </c>
      <c r="T322" s="215">
        <v>0</v>
      </c>
      <c r="U322" s="215">
        <v>0</v>
      </c>
      <c r="V322" s="223">
        <f t="shared" si="104"/>
        <v>23</v>
      </c>
      <c r="W322" s="312">
        <v>2022</v>
      </c>
      <c r="X322" s="40">
        <f t="shared" si="89"/>
        <v>0</v>
      </c>
      <c r="Y322" s="40">
        <f t="shared" si="90"/>
        <v>0</v>
      </c>
      <c r="Z322" s="40">
        <f t="shared" si="91"/>
        <v>0</v>
      </c>
    </row>
    <row r="323" spans="1:26" ht="51">
      <c r="A323" s="36" t="s">
        <v>272</v>
      </c>
      <c r="B323" s="12">
        <v>1</v>
      </c>
      <c r="C323" s="12">
        <v>2</v>
      </c>
      <c r="D323" s="12">
        <v>3</v>
      </c>
      <c r="E323" s="12">
        <v>0</v>
      </c>
      <c r="F323" s="12">
        <v>6</v>
      </c>
      <c r="G323" s="14"/>
      <c r="H323" s="58" t="s">
        <v>402</v>
      </c>
      <c r="I323" s="14" t="s">
        <v>312</v>
      </c>
      <c r="J323" s="8">
        <v>0</v>
      </c>
      <c r="K323" s="8">
        <v>1</v>
      </c>
      <c r="L323" s="8">
        <v>1</v>
      </c>
      <c r="M323" s="163">
        <v>3</v>
      </c>
      <c r="N323" s="215">
        <v>0</v>
      </c>
      <c r="O323" s="215">
        <v>0</v>
      </c>
      <c r="P323" s="215">
        <v>0</v>
      </c>
      <c r="Q323" s="215">
        <v>0</v>
      </c>
      <c r="R323" s="215">
        <v>0</v>
      </c>
      <c r="S323" s="215">
        <v>0</v>
      </c>
      <c r="T323" s="215">
        <v>0</v>
      </c>
      <c r="U323" s="215">
        <v>0</v>
      </c>
      <c r="V323" s="223">
        <f t="shared" si="104"/>
        <v>5</v>
      </c>
      <c r="W323" s="312">
        <v>2020</v>
      </c>
      <c r="X323" s="40">
        <f t="shared" si="89"/>
        <v>0</v>
      </c>
      <c r="Y323" s="40">
        <f t="shared" si="90"/>
        <v>0</v>
      </c>
      <c r="Z323" s="40">
        <f t="shared" si="91"/>
        <v>0</v>
      </c>
    </row>
    <row r="324" spans="1:26" ht="38.25">
      <c r="A324" s="36" t="s">
        <v>272</v>
      </c>
      <c r="B324" s="12">
        <v>1</v>
      </c>
      <c r="C324" s="12">
        <v>2</v>
      </c>
      <c r="D324" s="12">
        <v>3</v>
      </c>
      <c r="E324" s="12">
        <v>0</v>
      </c>
      <c r="F324" s="12">
        <v>6</v>
      </c>
      <c r="G324" s="14"/>
      <c r="H324" s="58" t="s">
        <v>403</v>
      </c>
      <c r="I324" s="14" t="s">
        <v>312</v>
      </c>
      <c r="J324" s="8">
        <v>0</v>
      </c>
      <c r="K324" s="8">
        <v>0</v>
      </c>
      <c r="L324" s="8">
        <v>6</v>
      </c>
      <c r="M324" s="163">
        <v>0</v>
      </c>
      <c r="N324" s="215">
        <v>0</v>
      </c>
      <c r="O324" s="215">
        <v>0</v>
      </c>
      <c r="P324" s="215">
        <v>0</v>
      </c>
      <c r="Q324" s="215">
        <v>0</v>
      </c>
      <c r="R324" s="215">
        <v>0</v>
      </c>
      <c r="S324" s="215">
        <v>0</v>
      </c>
      <c r="T324" s="215">
        <v>0</v>
      </c>
      <c r="U324" s="215">
        <v>0</v>
      </c>
      <c r="V324" s="223">
        <f t="shared" si="104"/>
        <v>6</v>
      </c>
      <c r="W324" s="312">
        <v>2020</v>
      </c>
      <c r="X324" s="40">
        <f t="shared" si="89"/>
        <v>0</v>
      </c>
      <c r="Y324" s="40">
        <f t="shared" si="90"/>
        <v>0</v>
      </c>
      <c r="Z324" s="40">
        <f t="shared" si="91"/>
        <v>0</v>
      </c>
    </row>
    <row r="325" spans="1:26" ht="38.25">
      <c r="A325" s="36" t="s">
        <v>272</v>
      </c>
      <c r="B325" s="12">
        <v>1</v>
      </c>
      <c r="C325" s="12">
        <v>2</v>
      </c>
      <c r="D325" s="12">
        <v>3</v>
      </c>
      <c r="E325" s="12">
        <v>0</v>
      </c>
      <c r="F325" s="12">
        <v>6</v>
      </c>
      <c r="G325" s="14"/>
      <c r="H325" s="58" t="s">
        <v>404</v>
      </c>
      <c r="I325" s="14" t="s">
        <v>312</v>
      </c>
      <c r="J325" s="8">
        <v>0</v>
      </c>
      <c r="K325" s="8">
        <v>0</v>
      </c>
      <c r="L325" s="8">
        <v>0</v>
      </c>
      <c r="M325" s="163">
        <v>0</v>
      </c>
      <c r="N325" s="215">
        <v>0</v>
      </c>
      <c r="O325" s="215">
        <v>0</v>
      </c>
      <c r="P325" s="215">
        <v>0</v>
      </c>
      <c r="Q325" s="215">
        <v>0</v>
      </c>
      <c r="R325" s="215">
        <v>0</v>
      </c>
      <c r="S325" s="215">
        <v>0</v>
      </c>
      <c r="T325" s="215">
        <v>0</v>
      </c>
      <c r="U325" s="215">
        <v>0</v>
      </c>
      <c r="V325" s="223">
        <f t="shared" si="104"/>
        <v>0</v>
      </c>
      <c r="W325" s="312">
        <v>2020</v>
      </c>
      <c r="X325" s="40">
        <f t="shared" si="89"/>
        <v>0</v>
      </c>
      <c r="Y325" s="40">
        <f t="shared" si="90"/>
        <v>0</v>
      </c>
      <c r="Z325" s="40">
        <f t="shared" si="91"/>
        <v>0</v>
      </c>
    </row>
    <row r="326" spans="1:26" ht="38.25">
      <c r="A326" s="36" t="s">
        <v>272</v>
      </c>
      <c r="B326" s="12">
        <v>1</v>
      </c>
      <c r="C326" s="12">
        <v>2</v>
      </c>
      <c r="D326" s="12">
        <v>3</v>
      </c>
      <c r="E326" s="12">
        <v>0</v>
      </c>
      <c r="F326" s="12">
        <v>6</v>
      </c>
      <c r="G326" s="14"/>
      <c r="H326" s="169" t="s">
        <v>249</v>
      </c>
      <c r="I326" s="14" t="s">
        <v>312</v>
      </c>
      <c r="J326" s="8">
        <v>0</v>
      </c>
      <c r="K326" s="8">
        <v>0</v>
      </c>
      <c r="L326" s="8">
        <v>0</v>
      </c>
      <c r="M326" s="163">
        <v>0</v>
      </c>
      <c r="N326" s="215">
        <v>6</v>
      </c>
      <c r="O326" s="215">
        <v>6</v>
      </c>
      <c r="P326" s="215">
        <v>7</v>
      </c>
      <c r="Q326" s="215">
        <v>7</v>
      </c>
      <c r="R326" s="215">
        <v>0</v>
      </c>
      <c r="S326" s="215">
        <v>0</v>
      </c>
      <c r="T326" s="215">
        <v>50</v>
      </c>
      <c r="U326" s="215">
        <v>38</v>
      </c>
      <c r="V326" s="223">
        <f t="shared" si="104"/>
        <v>101</v>
      </c>
      <c r="W326" s="312">
        <v>2024</v>
      </c>
      <c r="X326" s="40">
        <f t="shared" si="89"/>
        <v>0</v>
      </c>
      <c r="Y326" s="40">
        <f t="shared" si="90"/>
        <v>0</v>
      </c>
      <c r="Z326" s="40">
        <f t="shared" si="91"/>
        <v>0</v>
      </c>
    </row>
    <row r="327" spans="1:27" s="50" customFormat="1" ht="38.25">
      <c r="A327" s="51" t="s">
        <v>272</v>
      </c>
      <c r="B327" s="17">
        <v>1</v>
      </c>
      <c r="C327" s="17">
        <v>2</v>
      </c>
      <c r="D327" s="17">
        <v>3</v>
      </c>
      <c r="E327" s="17">
        <v>0</v>
      </c>
      <c r="F327" s="17">
        <v>7</v>
      </c>
      <c r="G327" s="17"/>
      <c r="H327" s="53" t="s">
        <v>116</v>
      </c>
      <c r="I327" s="17" t="s">
        <v>273</v>
      </c>
      <c r="J327" s="7">
        <f aca="true" t="shared" si="105" ref="J327:U327">J328+J329</f>
        <v>5043</v>
      </c>
      <c r="K327" s="7">
        <f t="shared" si="105"/>
        <v>7458.1</v>
      </c>
      <c r="L327" s="7">
        <f t="shared" si="105"/>
        <v>32753.2</v>
      </c>
      <c r="M327" s="148">
        <f t="shared" si="105"/>
        <v>38602.4</v>
      </c>
      <c r="N327" s="213">
        <f t="shared" si="105"/>
        <v>21998.7</v>
      </c>
      <c r="O327" s="213">
        <f t="shared" si="105"/>
        <v>24529.8</v>
      </c>
      <c r="P327" s="213">
        <f t="shared" si="105"/>
        <v>3405.9</v>
      </c>
      <c r="Q327" s="213">
        <f t="shared" si="105"/>
        <v>3405.9</v>
      </c>
      <c r="R327" s="213">
        <f t="shared" si="105"/>
        <v>24786</v>
      </c>
      <c r="S327" s="213">
        <f t="shared" si="105"/>
        <v>24786</v>
      </c>
      <c r="T327" s="213">
        <f t="shared" si="105"/>
        <v>0</v>
      </c>
      <c r="U327" s="213">
        <f t="shared" si="105"/>
        <v>0</v>
      </c>
      <c r="V327" s="216">
        <f aca="true" t="shared" si="106" ref="V327:V336">J327+K327+L327+M327+O327+Q327+S327+T327+U327</f>
        <v>136578.4</v>
      </c>
      <c r="W327" s="308">
        <v>2022</v>
      </c>
      <c r="X327" s="40">
        <f t="shared" si="89"/>
        <v>2531.1</v>
      </c>
      <c r="Y327" s="40">
        <f t="shared" si="90"/>
        <v>0</v>
      </c>
      <c r="Z327" s="40">
        <f t="shared" si="91"/>
        <v>0</v>
      </c>
      <c r="AA327" s="37"/>
    </row>
    <row r="328" spans="1:26" ht="12.75">
      <c r="A328" s="36" t="s">
        <v>272</v>
      </c>
      <c r="B328" s="12">
        <v>1</v>
      </c>
      <c r="C328" s="12">
        <v>2</v>
      </c>
      <c r="D328" s="12">
        <v>3</v>
      </c>
      <c r="E328" s="12">
        <v>0</v>
      </c>
      <c r="F328" s="12">
        <v>7</v>
      </c>
      <c r="G328" s="12">
        <v>3</v>
      </c>
      <c r="H328" s="42" t="s">
        <v>274</v>
      </c>
      <c r="I328" s="14" t="s">
        <v>273</v>
      </c>
      <c r="J328" s="5">
        <f>4060+100+70+537.7+275.3</f>
        <v>5043</v>
      </c>
      <c r="K328" s="5">
        <v>6958.1</v>
      </c>
      <c r="L328" s="5">
        <f>32753.248-150</f>
        <v>32603.2</v>
      </c>
      <c r="M328" s="160">
        <v>37878.6</v>
      </c>
      <c r="N328" s="214">
        <f>21998724.2/1000</f>
        <v>21998.7</v>
      </c>
      <c r="O328" s="214">
        <v>24529.8</v>
      </c>
      <c r="P328" s="214">
        <v>3405.9</v>
      </c>
      <c r="Q328" s="214">
        <v>3405.9</v>
      </c>
      <c r="R328" s="214">
        <v>24786</v>
      </c>
      <c r="S328" s="214">
        <v>24786</v>
      </c>
      <c r="T328" s="214">
        <v>0</v>
      </c>
      <c r="U328" s="214">
        <v>0</v>
      </c>
      <c r="V328" s="217">
        <f t="shared" si="106"/>
        <v>135204.6</v>
      </c>
      <c r="W328" s="311">
        <v>2022</v>
      </c>
      <c r="X328" s="40">
        <f t="shared" si="89"/>
        <v>2531.1</v>
      </c>
      <c r="Y328" s="40">
        <f t="shared" si="90"/>
        <v>0</v>
      </c>
      <c r="Z328" s="40">
        <f t="shared" si="91"/>
        <v>0</v>
      </c>
    </row>
    <row r="329" spans="1:26" ht="12.75">
      <c r="A329" s="36" t="s">
        <v>272</v>
      </c>
      <c r="B329" s="12">
        <v>1</v>
      </c>
      <c r="C329" s="12">
        <v>2</v>
      </c>
      <c r="D329" s="12">
        <v>3</v>
      </c>
      <c r="E329" s="12">
        <v>0</v>
      </c>
      <c r="F329" s="12">
        <v>7</v>
      </c>
      <c r="G329" s="12">
        <v>2</v>
      </c>
      <c r="H329" s="42" t="s">
        <v>275</v>
      </c>
      <c r="I329" s="14" t="s">
        <v>273</v>
      </c>
      <c r="J329" s="5">
        <v>0</v>
      </c>
      <c r="K329" s="5">
        <v>500</v>
      </c>
      <c r="L329" s="5">
        <v>150</v>
      </c>
      <c r="M329" s="160">
        <v>723.8</v>
      </c>
      <c r="N329" s="214">
        <v>0</v>
      </c>
      <c r="O329" s="214">
        <v>0</v>
      </c>
      <c r="P329" s="214">
        <v>0</v>
      </c>
      <c r="Q329" s="214">
        <v>0</v>
      </c>
      <c r="R329" s="214">
        <v>0</v>
      </c>
      <c r="S329" s="214">
        <v>0</v>
      </c>
      <c r="T329" s="214">
        <v>0</v>
      </c>
      <c r="U329" s="214">
        <v>0</v>
      </c>
      <c r="V329" s="217">
        <f t="shared" si="106"/>
        <v>1373.8</v>
      </c>
      <c r="W329" s="311">
        <v>2018</v>
      </c>
      <c r="X329" s="40">
        <f aca="true" t="shared" si="107" ref="X329:X392">O329-N329</f>
        <v>0</v>
      </c>
      <c r="Y329" s="40">
        <f aca="true" t="shared" si="108" ref="Y329:Y392">Q329-P329</f>
        <v>0</v>
      </c>
      <c r="Z329" s="40">
        <f aca="true" t="shared" si="109" ref="Z329:Z392">S329-R329</f>
        <v>0</v>
      </c>
    </row>
    <row r="330" spans="1:26" ht="38.25">
      <c r="A330" s="36" t="s">
        <v>272</v>
      </c>
      <c r="B330" s="12">
        <v>1</v>
      </c>
      <c r="C330" s="12">
        <v>2</v>
      </c>
      <c r="D330" s="12">
        <v>3</v>
      </c>
      <c r="E330" s="12">
        <v>0</v>
      </c>
      <c r="F330" s="12">
        <v>7</v>
      </c>
      <c r="G330" s="14"/>
      <c r="H330" s="58" t="s">
        <v>405</v>
      </c>
      <c r="I330" s="14" t="s">
        <v>347</v>
      </c>
      <c r="J330" s="9">
        <f>1270+40+46.9+89+147.3+191.4+96+80.7</f>
        <v>1961.3</v>
      </c>
      <c r="K330" s="9">
        <v>2452</v>
      </c>
      <c r="L330" s="9">
        <f>8178.7+0.5</f>
        <v>8179.2</v>
      </c>
      <c r="M330" s="141">
        <v>9415.5</v>
      </c>
      <c r="N330" s="210">
        <v>4888.6</v>
      </c>
      <c r="O330" s="210">
        <v>5463.8</v>
      </c>
      <c r="P330" s="210">
        <v>756.9</v>
      </c>
      <c r="Q330" s="210">
        <v>756.9</v>
      </c>
      <c r="R330" s="210">
        <v>5508</v>
      </c>
      <c r="S330" s="210">
        <v>5508</v>
      </c>
      <c r="T330" s="210">
        <v>0</v>
      </c>
      <c r="U330" s="210">
        <v>0</v>
      </c>
      <c r="V330" s="221">
        <f t="shared" si="106"/>
        <v>33736.7</v>
      </c>
      <c r="W330" s="312">
        <v>2022</v>
      </c>
      <c r="X330" s="40">
        <f t="shared" si="107"/>
        <v>575.2</v>
      </c>
      <c r="Y330" s="40">
        <f t="shared" si="108"/>
        <v>0</v>
      </c>
      <c r="Z330" s="40">
        <f t="shared" si="109"/>
        <v>0</v>
      </c>
    </row>
    <row r="331" spans="1:27" s="50" customFormat="1" ht="25.5">
      <c r="A331" s="38" t="s">
        <v>272</v>
      </c>
      <c r="B331" s="2">
        <v>1</v>
      </c>
      <c r="C331" s="2">
        <v>3</v>
      </c>
      <c r="D331" s="2">
        <v>0</v>
      </c>
      <c r="E331" s="2">
        <v>0</v>
      </c>
      <c r="F331" s="2">
        <v>0</v>
      </c>
      <c r="G331" s="2"/>
      <c r="H331" s="39" t="s">
        <v>148</v>
      </c>
      <c r="I331" s="2" t="s">
        <v>273</v>
      </c>
      <c r="J331" s="4">
        <f aca="true" t="shared" si="110" ref="J331:U331">J332+J333</f>
        <v>98867</v>
      </c>
      <c r="K331" s="273">
        <f t="shared" si="110"/>
        <v>102623.5</v>
      </c>
      <c r="L331" s="273">
        <f t="shared" si="110"/>
        <v>137472.9</v>
      </c>
      <c r="M331" s="274">
        <f t="shared" si="110"/>
        <v>143223.7</v>
      </c>
      <c r="N331" s="206">
        <f>N332+N333</f>
        <v>125562.6</v>
      </c>
      <c r="O331" s="206">
        <f>O332+O333</f>
        <v>131108.9</v>
      </c>
      <c r="P331" s="206">
        <f>P332+P333</f>
        <v>123458.8</v>
      </c>
      <c r="Q331" s="206">
        <f t="shared" si="110"/>
        <v>123458.8</v>
      </c>
      <c r="R331" s="206">
        <f t="shared" si="110"/>
        <v>118831.1</v>
      </c>
      <c r="S331" s="206">
        <f t="shared" si="110"/>
        <v>118831.1</v>
      </c>
      <c r="T331" s="206">
        <f>T332+T333</f>
        <v>121521.3</v>
      </c>
      <c r="U331" s="206">
        <f t="shared" si="110"/>
        <v>120286.7</v>
      </c>
      <c r="V331" s="228">
        <f t="shared" si="106"/>
        <v>1097393.9</v>
      </c>
      <c r="W331" s="304">
        <v>2024</v>
      </c>
      <c r="X331" s="40">
        <f t="shared" si="107"/>
        <v>5546.3</v>
      </c>
      <c r="Y331" s="40">
        <f t="shared" si="108"/>
        <v>0</v>
      </c>
      <c r="Z331" s="40">
        <f t="shared" si="109"/>
        <v>0</v>
      </c>
      <c r="AA331" s="37"/>
    </row>
    <row r="332" spans="1:27" s="50" customFormat="1" ht="12.75">
      <c r="A332" s="36" t="s">
        <v>272</v>
      </c>
      <c r="B332" s="12">
        <v>1</v>
      </c>
      <c r="C332" s="12">
        <v>3</v>
      </c>
      <c r="D332" s="12">
        <v>0</v>
      </c>
      <c r="E332" s="12">
        <v>0</v>
      </c>
      <c r="F332" s="12">
        <v>0</v>
      </c>
      <c r="G332" s="12">
        <v>3</v>
      </c>
      <c r="H332" s="42" t="s">
        <v>274</v>
      </c>
      <c r="I332" s="12" t="s">
        <v>273</v>
      </c>
      <c r="J332" s="5">
        <f>J335+J350+J365+J384+J397</f>
        <v>98867</v>
      </c>
      <c r="K332" s="123">
        <f aca="true" t="shared" si="111" ref="K332:U332">K335+K350+K365+K388+K406</f>
        <v>102432.2</v>
      </c>
      <c r="L332" s="123">
        <f t="shared" si="111"/>
        <v>133585.7</v>
      </c>
      <c r="M332" s="275">
        <f t="shared" si="111"/>
        <v>142604.3</v>
      </c>
      <c r="N332" s="214">
        <f t="shared" si="111"/>
        <v>125562.6</v>
      </c>
      <c r="O332" s="214">
        <f t="shared" si="111"/>
        <v>125642.7</v>
      </c>
      <c r="P332" s="214">
        <f t="shared" si="111"/>
        <v>123458.8</v>
      </c>
      <c r="Q332" s="214">
        <f t="shared" si="111"/>
        <v>123458.8</v>
      </c>
      <c r="R332" s="214">
        <f t="shared" si="111"/>
        <v>118831.1</v>
      </c>
      <c r="S332" s="214">
        <f t="shared" si="111"/>
        <v>118831.1</v>
      </c>
      <c r="T332" s="214">
        <f t="shared" si="111"/>
        <v>121521.3</v>
      </c>
      <c r="U332" s="214">
        <f t="shared" si="111"/>
        <v>120286.7</v>
      </c>
      <c r="V332" s="217">
        <f t="shared" si="106"/>
        <v>1087229.8</v>
      </c>
      <c r="W332" s="322">
        <v>2024</v>
      </c>
      <c r="X332" s="40">
        <f t="shared" si="107"/>
        <v>80.1</v>
      </c>
      <c r="Y332" s="40">
        <f t="shared" si="108"/>
        <v>0</v>
      </c>
      <c r="Z332" s="40">
        <f t="shared" si="109"/>
        <v>0</v>
      </c>
      <c r="AA332" s="37"/>
    </row>
    <row r="333" spans="1:27" s="50" customFormat="1" ht="12.75">
      <c r="A333" s="36" t="s">
        <v>272</v>
      </c>
      <c r="B333" s="12">
        <v>1</v>
      </c>
      <c r="C333" s="12">
        <v>3</v>
      </c>
      <c r="D333" s="12">
        <v>0</v>
      </c>
      <c r="E333" s="12">
        <v>0</v>
      </c>
      <c r="F333" s="12">
        <v>0</v>
      </c>
      <c r="G333" s="12">
        <v>2</v>
      </c>
      <c r="H333" s="42" t="s">
        <v>275</v>
      </c>
      <c r="I333" s="12" t="s">
        <v>273</v>
      </c>
      <c r="J333" s="5">
        <f>J336+J351</f>
        <v>0</v>
      </c>
      <c r="K333" s="123">
        <f>K336+K351</f>
        <v>191.3</v>
      </c>
      <c r="L333" s="123">
        <f>L336+L351</f>
        <v>3887.2</v>
      </c>
      <c r="M333" s="275">
        <f>M336+M351+M389</f>
        <v>619.4</v>
      </c>
      <c r="N333" s="214">
        <f>N336+N351+N389</f>
        <v>0</v>
      </c>
      <c r="O333" s="214">
        <f>O336+O351+O366+O389</f>
        <v>5466.2</v>
      </c>
      <c r="P333" s="214">
        <f>P336+P351+P389</f>
        <v>0</v>
      </c>
      <c r="Q333" s="214">
        <f>Q336+Q351+Q386</f>
        <v>0</v>
      </c>
      <c r="R333" s="214">
        <f>R336+R351+R389</f>
        <v>0</v>
      </c>
      <c r="S333" s="214">
        <f>S336+S351+S386</f>
        <v>0</v>
      </c>
      <c r="T333" s="214">
        <f>T336+T351+T386</f>
        <v>0</v>
      </c>
      <c r="U333" s="214">
        <f>U336+U351+U386</f>
        <v>0</v>
      </c>
      <c r="V333" s="217">
        <f t="shared" si="106"/>
        <v>10164.1</v>
      </c>
      <c r="W333" s="311">
        <v>2018</v>
      </c>
      <c r="X333" s="40">
        <f t="shared" si="107"/>
        <v>5466.2</v>
      </c>
      <c r="Y333" s="40">
        <f t="shared" si="108"/>
        <v>0</v>
      </c>
      <c r="Z333" s="40">
        <f t="shared" si="109"/>
        <v>0</v>
      </c>
      <c r="AA333" s="37"/>
    </row>
    <row r="334" spans="1:27" s="50" customFormat="1" ht="51">
      <c r="A334" s="65" t="s">
        <v>272</v>
      </c>
      <c r="B334" s="11">
        <v>1</v>
      </c>
      <c r="C334" s="11">
        <v>3</v>
      </c>
      <c r="D334" s="11">
        <v>1</v>
      </c>
      <c r="E334" s="11">
        <v>0</v>
      </c>
      <c r="F334" s="11">
        <v>0</v>
      </c>
      <c r="G334" s="11"/>
      <c r="H334" s="49" t="s">
        <v>406</v>
      </c>
      <c r="I334" s="11" t="s">
        <v>273</v>
      </c>
      <c r="J334" s="10">
        <f aca="true" t="shared" si="112" ref="J334:U334">J335+J336</f>
        <v>77831.5</v>
      </c>
      <c r="K334" s="97">
        <f t="shared" si="112"/>
        <v>71342</v>
      </c>
      <c r="L334" s="97">
        <f t="shared" si="112"/>
        <v>76243</v>
      </c>
      <c r="M334" s="276">
        <f t="shared" si="112"/>
        <v>75924.6</v>
      </c>
      <c r="N334" s="208">
        <f t="shared" si="112"/>
        <v>81248</v>
      </c>
      <c r="O334" s="208">
        <f t="shared" si="112"/>
        <v>81248</v>
      </c>
      <c r="P334" s="208">
        <f t="shared" si="112"/>
        <v>82046.3</v>
      </c>
      <c r="Q334" s="208">
        <f t="shared" si="112"/>
        <v>82046.3</v>
      </c>
      <c r="R334" s="208">
        <f t="shared" si="112"/>
        <v>82187.1</v>
      </c>
      <c r="S334" s="208">
        <f t="shared" si="112"/>
        <v>82187.1</v>
      </c>
      <c r="T334" s="208">
        <f t="shared" si="112"/>
        <v>82187.1</v>
      </c>
      <c r="U334" s="208">
        <f t="shared" si="112"/>
        <v>82187.1</v>
      </c>
      <c r="V334" s="218">
        <f t="shared" si="106"/>
        <v>711196.7</v>
      </c>
      <c r="W334" s="306">
        <v>2024</v>
      </c>
      <c r="X334" s="40">
        <f t="shared" si="107"/>
        <v>0</v>
      </c>
      <c r="Y334" s="40">
        <f t="shared" si="108"/>
        <v>0</v>
      </c>
      <c r="Z334" s="40">
        <f t="shared" si="109"/>
        <v>0</v>
      </c>
      <c r="AA334" s="37"/>
    </row>
    <row r="335" spans="1:27" s="50" customFormat="1" ht="12.75">
      <c r="A335" s="36" t="s">
        <v>272</v>
      </c>
      <c r="B335" s="12">
        <v>1</v>
      </c>
      <c r="C335" s="12">
        <v>3</v>
      </c>
      <c r="D335" s="12">
        <v>1</v>
      </c>
      <c r="E335" s="12">
        <v>0</v>
      </c>
      <c r="F335" s="12">
        <v>0</v>
      </c>
      <c r="G335" s="12">
        <v>3</v>
      </c>
      <c r="H335" s="42" t="s">
        <v>274</v>
      </c>
      <c r="I335" s="12" t="s">
        <v>273</v>
      </c>
      <c r="J335" s="5">
        <f aca="true" t="shared" si="113" ref="J335:M336">J342+J346</f>
        <v>77831.5</v>
      </c>
      <c r="K335" s="123">
        <f t="shared" si="113"/>
        <v>71342</v>
      </c>
      <c r="L335" s="123">
        <f t="shared" si="113"/>
        <v>72492.5</v>
      </c>
      <c r="M335" s="275">
        <f t="shared" si="113"/>
        <v>75924.6</v>
      </c>
      <c r="N335" s="214">
        <f aca="true" t="shared" si="114" ref="N335:U336">N342+N346</f>
        <v>81248</v>
      </c>
      <c r="O335" s="214">
        <f t="shared" si="114"/>
        <v>81248</v>
      </c>
      <c r="P335" s="214">
        <f t="shared" si="114"/>
        <v>82046.3</v>
      </c>
      <c r="Q335" s="214">
        <f t="shared" si="114"/>
        <v>82046.3</v>
      </c>
      <c r="R335" s="214">
        <f t="shared" si="114"/>
        <v>82187.1</v>
      </c>
      <c r="S335" s="214">
        <f t="shared" si="114"/>
        <v>82187.1</v>
      </c>
      <c r="T335" s="214">
        <f t="shared" si="114"/>
        <v>82187.1</v>
      </c>
      <c r="U335" s="214">
        <f t="shared" si="114"/>
        <v>82187.1</v>
      </c>
      <c r="V335" s="217">
        <f t="shared" si="106"/>
        <v>707446.2</v>
      </c>
      <c r="W335" s="311">
        <v>2024</v>
      </c>
      <c r="X335" s="40">
        <f t="shared" si="107"/>
        <v>0</v>
      </c>
      <c r="Y335" s="40">
        <f t="shared" si="108"/>
        <v>0</v>
      </c>
      <c r="Z335" s="40">
        <f t="shared" si="109"/>
        <v>0</v>
      </c>
      <c r="AA335" s="37"/>
    </row>
    <row r="336" spans="1:27" s="50" customFormat="1" ht="12.75">
      <c r="A336" s="36" t="s">
        <v>272</v>
      </c>
      <c r="B336" s="12">
        <v>1</v>
      </c>
      <c r="C336" s="12">
        <v>3</v>
      </c>
      <c r="D336" s="12">
        <v>1</v>
      </c>
      <c r="E336" s="12">
        <v>0</v>
      </c>
      <c r="F336" s="12">
        <v>0</v>
      </c>
      <c r="G336" s="12">
        <v>2</v>
      </c>
      <c r="H336" s="42" t="s">
        <v>275</v>
      </c>
      <c r="I336" s="12" t="s">
        <v>273</v>
      </c>
      <c r="J336" s="5">
        <f t="shared" si="113"/>
        <v>0</v>
      </c>
      <c r="K336" s="123">
        <f t="shared" si="113"/>
        <v>0</v>
      </c>
      <c r="L336" s="123">
        <f t="shared" si="113"/>
        <v>3750.5</v>
      </c>
      <c r="M336" s="275">
        <f t="shared" si="113"/>
        <v>0</v>
      </c>
      <c r="N336" s="214">
        <f t="shared" si="114"/>
        <v>0</v>
      </c>
      <c r="O336" s="214">
        <f t="shared" si="114"/>
        <v>0</v>
      </c>
      <c r="P336" s="214">
        <f t="shared" si="114"/>
        <v>0</v>
      </c>
      <c r="Q336" s="214">
        <f t="shared" si="114"/>
        <v>0</v>
      </c>
      <c r="R336" s="214">
        <f t="shared" si="114"/>
        <v>0</v>
      </c>
      <c r="S336" s="214">
        <f t="shared" si="114"/>
        <v>0</v>
      </c>
      <c r="T336" s="214">
        <f t="shared" si="114"/>
        <v>0</v>
      </c>
      <c r="U336" s="214">
        <f t="shared" si="114"/>
        <v>0</v>
      </c>
      <c r="V336" s="217">
        <f t="shared" si="106"/>
        <v>3750.5</v>
      </c>
      <c r="W336" s="311">
        <v>2018</v>
      </c>
      <c r="X336" s="40">
        <f t="shared" si="107"/>
        <v>0</v>
      </c>
      <c r="Y336" s="40">
        <f t="shared" si="108"/>
        <v>0</v>
      </c>
      <c r="Z336" s="40">
        <f t="shared" si="109"/>
        <v>0</v>
      </c>
      <c r="AA336" s="37"/>
    </row>
    <row r="337" spans="1:26" ht="63.75">
      <c r="A337" s="36" t="s">
        <v>272</v>
      </c>
      <c r="B337" s="12">
        <v>1</v>
      </c>
      <c r="C337" s="12">
        <v>3</v>
      </c>
      <c r="D337" s="12">
        <v>1</v>
      </c>
      <c r="E337" s="12">
        <v>0</v>
      </c>
      <c r="F337" s="12">
        <v>0</v>
      </c>
      <c r="G337" s="14"/>
      <c r="H337" s="63" t="s">
        <v>407</v>
      </c>
      <c r="I337" s="14" t="s">
        <v>278</v>
      </c>
      <c r="J337" s="113">
        <v>100</v>
      </c>
      <c r="K337" s="113">
        <v>100</v>
      </c>
      <c r="L337" s="113">
        <v>100</v>
      </c>
      <c r="M337" s="277">
        <v>100</v>
      </c>
      <c r="N337" s="221">
        <v>100</v>
      </c>
      <c r="O337" s="221">
        <v>100</v>
      </c>
      <c r="P337" s="221">
        <v>100</v>
      </c>
      <c r="Q337" s="221">
        <v>100</v>
      </c>
      <c r="R337" s="222">
        <v>100</v>
      </c>
      <c r="S337" s="222">
        <v>100</v>
      </c>
      <c r="T337" s="222">
        <v>100</v>
      </c>
      <c r="U337" s="222">
        <v>100</v>
      </c>
      <c r="V337" s="222">
        <v>100</v>
      </c>
      <c r="W337" s="305">
        <v>2024</v>
      </c>
      <c r="X337" s="40">
        <f t="shared" si="107"/>
        <v>0</v>
      </c>
      <c r="Y337" s="40">
        <f t="shared" si="108"/>
        <v>0</v>
      </c>
      <c r="Z337" s="40">
        <f t="shared" si="109"/>
        <v>0</v>
      </c>
    </row>
    <row r="338" spans="1:26" ht="63.75">
      <c r="A338" s="36" t="s">
        <v>272</v>
      </c>
      <c r="B338" s="12">
        <v>1</v>
      </c>
      <c r="C338" s="12">
        <v>3</v>
      </c>
      <c r="D338" s="12">
        <v>1</v>
      </c>
      <c r="E338" s="12">
        <v>0</v>
      </c>
      <c r="F338" s="12">
        <v>0</v>
      </c>
      <c r="G338" s="15"/>
      <c r="H338" s="72" t="s">
        <v>408</v>
      </c>
      <c r="I338" s="15" t="s">
        <v>278</v>
      </c>
      <c r="J338" s="170">
        <v>98</v>
      </c>
      <c r="K338" s="170">
        <v>99</v>
      </c>
      <c r="L338" s="170">
        <v>100</v>
      </c>
      <c r="M338" s="278">
        <v>100</v>
      </c>
      <c r="N338" s="247">
        <v>100</v>
      </c>
      <c r="O338" s="247">
        <v>100</v>
      </c>
      <c r="P338" s="247">
        <v>100</v>
      </c>
      <c r="Q338" s="247">
        <v>100</v>
      </c>
      <c r="R338" s="270">
        <v>100</v>
      </c>
      <c r="S338" s="270">
        <v>100</v>
      </c>
      <c r="T338" s="270">
        <v>100</v>
      </c>
      <c r="U338" s="270">
        <v>100</v>
      </c>
      <c r="V338" s="270">
        <v>100</v>
      </c>
      <c r="W338" s="323">
        <v>2024</v>
      </c>
      <c r="X338" s="40">
        <f t="shared" si="107"/>
        <v>0</v>
      </c>
      <c r="Y338" s="40">
        <f t="shared" si="108"/>
        <v>0</v>
      </c>
      <c r="Z338" s="40">
        <f t="shared" si="109"/>
        <v>0</v>
      </c>
    </row>
    <row r="339" spans="1:26" ht="51">
      <c r="A339" s="51" t="s">
        <v>272</v>
      </c>
      <c r="B339" s="17">
        <v>1</v>
      </c>
      <c r="C339" s="17">
        <v>3</v>
      </c>
      <c r="D339" s="17">
        <v>1</v>
      </c>
      <c r="E339" s="17">
        <v>0</v>
      </c>
      <c r="F339" s="17">
        <v>1</v>
      </c>
      <c r="G339" s="20"/>
      <c r="H339" s="52" t="s">
        <v>282</v>
      </c>
      <c r="I339" s="20" t="s">
        <v>297</v>
      </c>
      <c r="J339" s="23" t="s">
        <v>298</v>
      </c>
      <c r="K339" s="118" t="s">
        <v>298</v>
      </c>
      <c r="L339" s="279" t="s">
        <v>298</v>
      </c>
      <c r="M339" s="197" t="s">
        <v>298</v>
      </c>
      <c r="N339" s="219" t="s">
        <v>298</v>
      </c>
      <c r="O339" s="219" t="s">
        <v>298</v>
      </c>
      <c r="P339" s="219" t="s">
        <v>298</v>
      </c>
      <c r="Q339" s="219" t="s">
        <v>298</v>
      </c>
      <c r="R339" s="219" t="s">
        <v>298</v>
      </c>
      <c r="S339" s="219" t="s">
        <v>298</v>
      </c>
      <c r="T339" s="219" t="s">
        <v>298</v>
      </c>
      <c r="U339" s="219" t="s">
        <v>298</v>
      </c>
      <c r="V339" s="230" t="s">
        <v>298</v>
      </c>
      <c r="W339" s="307">
        <v>2024</v>
      </c>
      <c r="X339" s="40"/>
      <c r="Y339" s="40"/>
      <c r="Z339" s="40"/>
    </row>
    <row r="340" spans="1:26" ht="38.25">
      <c r="A340" s="36" t="s">
        <v>272</v>
      </c>
      <c r="B340" s="12">
        <v>1</v>
      </c>
      <c r="C340" s="12">
        <v>3</v>
      </c>
      <c r="D340" s="12">
        <v>1</v>
      </c>
      <c r="E340" s="12">
        <v>0</v>
      </c>
      <c r="F340" s="12">
        <v>1</v>
      </c>
      <c r="G340" s="14"/>
      <c r="H340" s="63" t="s">
        <v>164</v>
      </c>
      <c r="I340" s="14" t="s">
        <v>278</v>
      </c>
      <c r="J340" s="9">
        <v>100</v>
      </c>
      <c r="K340" s="112">
        <v>100</v>
      </c>
      <c r="L340" s="112">
        <v>100</v>
      </c>
      <c r="M340" s="195">
        <v>100</v>
      </c>
      <c r="N340" s="210">
        <v>100</v>
      </c>
      <c r="O340" s="210">
        <v>100</v>
      </c>
      <c r="P340" s="210">
        <v>100</v>
      </c>
      <c r="Q340" s="210">
        <v>100</v>
      </c>
      <c r="R340" s="210">
        <v>100</v>
      </c>
      <c r="S340" s="210">
        <v>100</v>
      </c>
      <c r="T340" s="210">
        <v>100</v>
      </c>
      <c r="U340" s="210">
        <v>100</v>
      </c>
      <c r="V340" s="309">
        <v>100</v>
      </c>
      <c r="W340" s="312">
        <v>2024</v>
      </c>
      <c r="X340" s="40">
        <f t="shared" si="107"/>
        <v>0</v>
      </c>
      <c r="Y340" s="40">
        <f t="shared" si="108"/>
        <v>0</v>
      </c>
      <c r="Z340" s="40">
        <f t="shared" si="109"/>
        <v>0</v>
      </c>
    </row>
    <row r="341" spans="1:27" s="50" customFormat="1" ht="38.25">
      <c r="A341" s="51" t="s">
        <v>272</v>
      </c>
      <c r="B341" s="17">
        <v>1</v>
      </c>
      <c r="C341" s="17">
        <v>3</v>
      </c>
      <c r="D341" s="17">
        <v>1</v>
      </c>
      <c r="E341" s="17">
        <v>0</v>
      </c>
      <c r="F341" s="17">
        <v>2</v>
      </c>
      <c r="G341" s="17"/>
      <c r="H341" s="53" t="s">
        <v>117</v>
      </c>
      <c r="I341" s="17" t="s">
        <v>273</v>
      </c>
      <c r="J341" s="7">
        <f aca="true" t="shared" si="115" ref="J341:U341">J342+J343</f>
        <v>72039.1</v>
      </c>
      <c r="K341" s="121">
        <f t="shared" si="115"/>
        <v>64992.6</v>
      </c>
      <c r="L341" s="121">
        <f t="shared" si="115"/>
        <v>71562.7</v>
      </c>
      <c r="M341" s="198">
        <f t="shared" si="115"/>
        <v>71323.8</v>
      </c>
      <c r="N341" s="213">
        <f t="shared" si="115"/>
        <v>76249.4</v>
      </c>
      <c r="O341" s="213">
        <f t="shared" si="115"/>
        <v>76249.4</v>
      </c>
      <c r="P341" s="213">
        <f t="shared" si="115"/>
        <v>76942</v>
      </c>
      <c r="Q341" s="213">
        <f t="shared" si="115"/>
        <v>76942</v>
      </c>
      <c r="R341" s="213">
        <f t="shared" si="115"/>
        <v>76942</v>
      </c>
      <c r="S341" s="213">
        <f t="shared" si="115"/>
        <v>76942</v>
      </c>
      <c r="T341" s="213">
        <f t="shared" si="115"/>
        <v>76942</v>
      </c>
      <c r="U341" s="213">
        <f t="shared" si="115"/>
        <v>76942</v>
      </c>
      <c r="V341" s="216">
        <f>J341+K341+L341+M341+O341+Q341+S341+T341+U341</f>
        <v>663935.6</v>
      </c>
      <c r="W341" s="308">
        <v>2024</v>
      </c>
      <c r="X341" s="40">
        <f t="shared" si="107"/>
        <v>0</v>
      </c>
      <c r="Y341" s="40">
        <f t="shared" si="108"/>
        <v>0</v>
      </c>
      <c r="Z341" s="40">
        <f t="shared" si="109"/>
        <v>0</v>
      </c>
      <c r="AA341" s="37"/>
    </row>
    <row r="342" spans="1:27" s="50" customFormat="1" ht="12.75">
      <c r="A342" s="36" t="s">
        <v>272</v>
      </c>
      <c r="B342" s="12">
        <v>1</v>
      </c>
      <c r="C342" s="12">
        <v>3</v>
      </c>
      <c r="D342" s="12">
        <v>1</v>
      </c>
      <c r="E342" s="12">
        <v>0</v>
      </c>
      <c r="F342" s="12">
        <v>2</v>
      </c>
      <c r="G342" s="12">
        <v>3</v>
      </c>
      <c r="H342" s="42" t="s">
        <v>274</v>
      </c>
      <c r="I342" s="12" t="s">
        <v>273</v>
      </c>
      <c r="J342" s="5">
        <f>69439.1-0.1+4910-2309.9</f>
        <v>72039.1</v>
      </c>
      <c r="K342" s="123">
        <f>72121.9-7129.3</f>
        <v>64992.6</v>
      </c>
      <c r="L342" s="123">
        <v>67917.1</v>
      </c>
      <c r="M342" s="275">
        <v>71323.8</v>
      </c>
      <c r="N342" s="214">
        <v>76249.4</v>
      </c>
      <c r="O342" s="214">
        <v>76249.4</v>
      </c>
      <c r="P342" s="214">
        <v>76942</v>
      </c>
      <c r="Q342" s="214">
        <v>76942</v>
      </c>
      <c r="R342" s="214">
        <f>Q342</f>
        <v>76942</v>
      </c>
      <c r="S342" s="214">
        <f>Q342</f>
        <v>76942</v>
      </c>
      <c r="T342" s="214">
        <f>S342</f>
        <v>76942</v>
      </c>
      <c r="U342" s="214">
        <f>T342</f>
        <v>76942</v>
      </c>
      <c r="V342" s="217">
        <f>J342+K342+L342+M342+O342+Q342+S342+T342+U342</f>
        <v>660290</v>
      </c>
      <c r="W342" s="311">
        <v>2024</v>
      </c>
      <c r="X342" s="40">
        <f t="shared" si="107"/>
        <v>0</v>
      </c>
      <c r="Y342" s="40">
        <f t="shared" si="108"/>
        <v>0</v>
      </c>
      <c r="Z342" s="40">
        <f t="shared" si="109"/>
        <v>0</v>
      </c>
      <c r="AA342" s="37"/>
    </row>
    <row r="343" spans="1:27" s="50" customFormat="1" ht="12.75">
      <c r="A343" s="36" t="s">
        <v>272</v>
      </c>
      <c r="B343" s="12">
        <v>1</v>
      </c>
      <c r="C343" s="12">
        <v>3</v>
      </c>
      <c r="D343" s="12">
        <v>1</v>
      </c>
      <c r="E343" s="12">
        <v>0</v>
      </c>
      <c r="F343" s="12">
        <v>2</v>
      </c>
      <c r="G343" s="12">
        <v>2</v>
      </c>
      <c r="H343" s="42" t="s">
        <v>275</v>
      </c>
      <c r="I343" s="12" t="s">
        <v>273</v>
      </c>
      <c r="J343" s="5">
        <v>0</v>
      </c>
      <c r="K343" s="123">
        <v>0</v>
      </c>
      <c r="L343" s="123">
        <v>3645.6</v>
      </c>
      <c r="M343" s="275">
        <v>0</v>
      </c>
      <c r="N343" s="214">
        <v>0</v>
      </c>
      <c r="O343" s="214">
        <v>0</v>
      </c>
      <c r="P343" s="214">
        <v>0</v>
      </c>
      <c r="Q343" s="214">
        <v>0</v>
      </c>
      <c r="R343" s="214">
        <v>0</v>
      </c>
      <c r="S343" s="214">
        <v>0</v>
      </c>
      <c r="T343" s="214">
        <v>0</v>
      </c>
      <c r="U343" s="214">
        <v>0</v>
      </c>
      <c r="V343" s="217">
        <f>J343+K343+L343+M343+O343+Q343+S343+T343+U343</f>
        <v>3645.6</v>
      </c>
      <c r="W343" s="311">
        <v>2018</v>
      </c>
      <c r="X343" s="40">
        <f t="shared" si="107"/>
        <v>0</v>
      </c>
      <c r="Y343" s="40">
        <f t="shared" si="108"/>
        <v>0</v>
      </c>
      <c r="Z343" s="40">
        <f t="shared" si="109"/>
        <v>0</v>
      </c>
      <c r="AA343" s="37"/>
    </row>
    <row r="344" spans="1:26" ht="25.5">
      <c r="A344" s="36" t="s">
        <v>272</v>
      </c>
      <c r="B344" s="12">
        <v>1</v>
      </c>
      <c r="C344" s="12">
        <v>3</v>
      </c>
      <c r="D344" s="12">
        <v>1</v>
      </c>
      <c r="E344" s="12">
        <v>0</v>
      </c>
      <c r="F344" s="12">
        <v>2</v>
      </c>
      <c r="G344" s="14"/>
      <c r="H344" s="63" t="s">
        <v>409</v>
      </c>
      <c r="I344" s="14" t="s">
        <v>63</v>
      </c>
      <c r="J344" s="9">
        <v>387730.8</v>
      </c>
      <c r="K344" s="112">
        <f>387730.8-827.8</f>
        <v>386903</v>
      </c>
      <c r="L344" s="112">
        <v>386903</v>
      </c>
      <c r="M344" s="112">
        <v>386901.5</v>
      </c>
      <c r="N344" s="221">
        <v>386901.5</v>
      </c>
      <c r="O344" s="221">
        <v>386901.5</v>
      </c>
      <c r="P344" s="221">
        <v>386901.5</v>
      </c>
      <c r="Q344" s="221">
        <v>386901.5</v>
      </c>
      <c r="R344" s="221">
        <v>386901.5</v>
      </c>
      <c r="S344" s="221">
        <v>386901.5</v>
      </c>
      <c r="T344" s="221">
        <v>386901.5</v>
      </c>
      <c r="U344" s="221">
        <v>386901.5</v>
      </c>
      <c r="V344" s="221">
        <v>386901.5</v>
      </c>
      <c r="W344" s="312">
        <v>2024</v>
      </c>
      <c r="X344" s="40">
        <f t="shared" si="107"/>
        <v>0</v>
      </c>
      <c r="Y344" s="40">
        <f t="shared" si="108"/>
        <v>0</v>
      </c>
      <c r="Z344" s="40">
        <f t="shared" si="109"/>
        <v>0</v>
      </c>
    </row>
    <row r="345" spans="1:27" s="50" customFormat="1" ht="63.75">
      <c r="A345" s="51" t="s">
        <v>272</v>
      </c>
      <c r="B345" s="17">
        <v>1</v>
      </c>
      <c r="C345" s="17">
        <v>3</v>
      </c>
      <c r="D345" s="17">
        <v>1</v>
      </c>
      <c r="E345" s="17">
        <v>0</v>
      </c>
      <c r="F345" s="17">
        <v>3</v>
      </c>
      <c r="G345" s="17"/>
      <c r="H345" s="53" t="s">
        <v>118</v>
      </c>
      <c r="I345" s="17" t="s">
        <v>273</v>
      </c>
      <c r="J345" s="7">
        <f aca="true" t="shared" si="116" ref="J345:U345">J346+J347</f>
        <v>5792.4</v>
      </c>
      <c r="K345" s="121">
        <f t="shared" si="116"/>
        <v>6349.4</v>
      </c>
      <c r="L345" s="121">
        <f t="shared" si="116"/>
        <v>4680.3</v>
      </c>
      <c r="M345" s="198">
        <f t="shared" si="116"/>
        <v>4600.8</v>
      </c>
      <c r="N345" s="213">
        <f t="shared" si="116"/>
        <v>4998.6</v>
      </c>
      <c r="O345" s="213">
        <f t="shared" si="116"/>
        <v>4998.6</v>
      </c>
      <c r="P345" s="213">
        <f t="shared" si="116"/>
        <v>5104.3</v>
      </c>
      <c r="Q345" s="213">
        <f t="shared" si="116"/>
        <v>5104.3</v>
      </c>
      <c r="R345" s="213">
        <f t="shared" si="116"/>
        <v>5245.1</v>
      </c>
      <c r="S345" s="213">
        <f t="shared" si="116"/>
        <v>5245.1</v>
      </c>
      <c r="T345" s="213">
        <f t="shared" si="116"/>
        <v>5245.1</v>
      </c>
      <c r="U345" s="213">
        <f t="shared" si="116"/>
        <v>5245.1</v>
      </c>
      <c r="V345" s="216">
        <f>J345+K345+L345+M345+O345+Q345+S345+T345+U345</f>
        <v>47261.1</v>
      </c>
      <c r="W345" s="308">
        <v>2024</v>
      </c>
      <c r="X345" s="40">
        <f t="shared" si="107"/>
        <v>0</v>
      </c>
      <c r="Y345" s="40">
        <f t="shared" si="108"/>
        <v>0</v>
      </c>
      <c r="Z345" s="40">
        <f t="shared" si="109"/>
        <v>0</v>
      </c>
      <c r="AA345" s="37"/>
    </row>
    <row r="346" spans="1:27" s="50" customFormat="1" ht="12.75">
      <c r="A346" s="36" t="s">
        <v>272</v>
      </c>
      <c r="B346" s="12">
        <v>1</v>
      </c>
      <c r="C346" s="12">
        <v>3</v>
      </c>
      <c r="D346" s="12">
        <v>1</v>
      </c>
      <c r="E346" s="12">
        <v>0</v>
      </c>
      <c r="F346" s="12">
        <v>3</v>
      </c>
      <c r="G346" s="12">
        <v>3</v>
      </c>
      <c r="H346" s="42" t="s">
        <v>274</v>
      </c>
      <c r="I346" s="12" t="s">
        <v>273</v>
      </c>
      <c r="J346" s="5">
        <f>6353.8-561.4</f>
        <v>5792.4</v>
      </c>
      <c r="K346" s="123">
        <f>6651.5-245.8+0.1-56.4</f>
        <v>6349.4</v>
      </c>
      <c r="L346" s="123">
        <v>4575.4</v>
      </c>
      <c r="M346" s="275">
        <v>4600.8</v>
      </c>
      <c r="N346" s="214">
        <v>4998.6</v>
      </c>
      <c r="O346" s="214">
        <v>4998.6</v>
      </c>
      <c r="P346" s="214">
        <v>5104.3</v>
      </c>
      <c r="Q346" s="214">
        <v>5104.3</v>
      </c>
      <c r="R346" s="214">
        <v>5245.1</v>
      </c>
      <c r="S346" s="214">
        <v>5245.1</v>
      </c>
      <c r="T346" s="214">
        <v>5245.1</v>
      </c>
      <c r="U346" s="214">
        <v>5245.1</v>
      </c>
      <c r="V346" s="217">
        <f>J346+K346+L346+M346+O346+Q346+S346+T346+U346</f>
        <v>47156.2</v>
      </c>
      <c r="W346" s="311">
        <v>2024</v>
      </c>
      <c r="X346" s="40">
        <f t="shared" si="107"/>
        <v>0</v>
      </c>
      <c r="Y346" s="40">
        <f t="shared" si="108"/>
        <v>0</v>
      </c>
      <c r="Z346" s="40">
        <f t="shared" si="109"/>
        <v>0</v>
      </c>
      <c r="AA346" s="37"/>
    </row>
    <row r="347" spans="1:27" s="50" customFormat="1" ht="12.75">
      <c r="A347" s="36" t="s">
        <v>272</v>
      </c>
      <c r="B347" s="12">
        <v>1</v>
      </c>
      <c r="C347" s="12">
        <v>3</v>
      </c>
      <c r="D347" s="12">
        <v>1</v>
      </c>
      <c r="E347" s="12">
        <v>0</v>
      </c>
      <c r="F347" s="12">
        <v>3</v>
      </c>
      <c r="G347" s="12">
        <v>2</v>
      </c>
      <c r="H347" s="42" t="s">
        <v>275</v>
      </c>
      <c r="I347" s="12" t="s">
        <v>273</v>
      </c>
      <c r="J347" s="5">
        <v>0</v>
      </c>
      <c r="K347" s="123">
        <v>0</v>
      </c>
      <c r="L347" s="123">
        <v>104.9</v>
      </c>
      <c r="M347" s="275">
        <v>0</v>
      </c>
      <c r="N347" s="214">
        <v>0</v>
      </c>
      <c r="O347" s="214">
        <v>0</v>
      </c>
      <c r="P347" s="214">
        <v>0</v>
      </c>
      <c r="Q347" s="214">
        <v>0</v>
      </c>
      <c r="R347" s="214"/>
      <c r="S347" s="214"/>
      <c r="T347" s="214"/>
      <c r="U347" s="214"/>
      <c r="V347" s="217">
        <f>J347+K347+L347+M347+O347+Q347+S347+T347+U347</f>
        <v>104.9</v>
      </c>
      <c r="W347" s="311">
        <v>2018</v>
      </c>
      <c r="X347" s="40">
        <f t="shared" si="107"/>
        <v>0</v>
      </c>
      <c r="Y347" s="40">
        <f t="shared" si="108"/>
        <v>0</v>
      </c>
      <c r="Z347" s="40">
        <f t="shared" si="109"/>
        <v>0</v>
      </c>
      <c r="AA347" s="37"/>
    </row>
    <row r="348" spans="1:26" ht="76.5">
      <c r="A348" s="36" t="s">
        <v>272</v>
      </c>
      <c r="B348" s="12">
        <v>1</v>
      </c>
      <c r="C348" s="12">
        <v>3</v>
      </c>
      <c r="D348" s="12">
        <v>1</v>
      </c>
      <c r="E348" s="12">
        <v>0</v>
      </c>
      <c r="F348" s="12">
        <v>3</v>
      </c>
      <c r="G348" s="14"/>
      <c r="H348" s="63" t="s">
        <v>149</v>
      </c>
      <c r="I348" s="14" t="s">
        <v>278</v>
      </c>
      <c r="J348" s="13">
        <f>J346/J9*100</f>
        <v>0.5</v>
      </c>
      <c r="K348" s="167">
        <f>K346/K8*100</f>
        <v>0.2</v>
      </c>
      <c r="L348" s="167">
        <f>L346/L9*100</f>
        <v>0.3</v>
      </c>
      <c r="M348" s="280">
        <v>0.3</v>
      </c>
      <c r="N348" s="242">
        <f>N346/N9*100</f>
        <v>0.3</v>
      </c>
      <c r="O348" s="242">
        <f aca="true" t="shared" si="117" ref="O348:U348">O346/O9*100</f>
        <v>0.3</v>
      </c>
      <c r="P348" s="242">
        <f t="shared" si="117"/>
        <v>0.3</v>
      </c>
      <c r="Q348" s="242">
        <f t="shared" si="117"/>
        <v>0.3</v>
      </c>
      <c r="R348" s="242">
        <f t="shared" si="117"/>
        <v>0.3</v>
      </c>
      <c r="S348" s="242">
        <f t="shared" si="117"/>
        <v>0.3</v>
      </c>
      <c r="T348" s="242">
        <f t="shared" si="117"/>
        <v>0.3</v>
      </c>
      <c r="U348" s="242">
        <f t="shared" si="117"/>
        <v>0.3</v>
      </c>
      <c r="V348" s="309">
        <v>0.5</v>
      </c>
      <c r="W348" s="312">
        <v>2024</v>
      </c>
      <c r="X348" s="40">
        <f t="shared" si="107"/>
        <v>0</v>
      </c>
      <c r="Y348" s="40">
        <f t="shared" si="108"/>
        <v>0</v>
      </c>
      <c r="Z348" s="40">
        <f t="shared" si="109"/>
        <v>0</v>
      </c>
    </row>
    <row r="349" spans="1:27" s="50" customFormat="1" ht="38.25">
      <c r="A349" s="65" t="s">
        <v>272</v>
      </c>
      <c r="B349" s="11">
        <v>1</v>
      </c>
      <c r="C349" s="11">
        <v>3</v>
      </c>
      <c r="D349" s="11">
        <v>2</v>
      </c>
      <c r="E349" s="11">
        <v>0</v>
      </c>
      <c r="F349" s="11">
        <v>0</v>
      </c>
      <c r="G349" s="11"/>
      <c r="H349" s="49" t="s">
        <v>411</v>
      </c>
      <c r="I349" s="11" t="s">
        <v>273</v>
      </c>
      <c r="J349" s="10">
        <f aca="true" t="shared" si="118" ref="J349:U349">J350+J351</f>
        <v>9327.7</v>
      </c>
      <c r="K349" s="97">
        <f t="shared" si="118"/>
        <v>9337.7</v>
      </c>
      <c r="L349" s="97">
        <f t="shared" si="118"/>
        <v>20921.8</v>
      </c>
      <c r="M349" s="276">
        <f t="shared" si="118"/>
        <v>15329.3</v>
      </c>
      <c r="N349" s="208">
        <f t="shared" si="118"/>
        <v>11400</v>
      </c>
      <c r="O349" s="208">
        <f t="shared" si="118"/>
        <v>11480</v>
      </c>
      <c r="P349" s="208">
        <f t="shared" si="118"/>
        <v>25641.9</v>
      </c>
      <c r="Q349" s="208">
        <f t="shared" si="118"/>
        <v>25642</v>
      </c>
      <c r="R349" s="208">
        <f t="shared" si="118"/>
        <v>2115</v>
      </c>
      <c r="S349" s="208">
        <f t="shared" si="118"/>
        <v>2115</v>
      </c>
      <c r="T349" s="208">
        <f t="shared" si="118"/>
        <v>2115</v>
      </c>
      <c r="U349" s="208">
        <f t="shared" si="118"/>
        <v>2115</v>
      </c>
      <c r="V349" s="218">
        <f>J349+K349+L349+M349+O349+Q349+S349+T349+U349</f>
        <v>98383.5</v>
      </c>
      <c r="W349" s="306">
        <v>2024</v>
      </c>
      <c r="X349" s="40">
        <f t="shared" si="107"/>
        <v>80</v>
      </c>
      <c r="Y349" s="40">
        <f t="shared" si="108"/>
        <v>0.1</v>
      </c>
      <c r="Z349" s="40">
        <f t="shared" si="109"/>
        <v>0</v>
      </c>
      <c r="AA349" s="37"/>
    </row>
    <row r="350" spans="1:27" s="50" customFormat="1" ht="12.75">
      <c r="A350" s="36" t="s">
        <v>272</v>
      </c>
      <c r="B350" s="12">
        <v>1</v>
      </c>
      <c r="C350" s="12">
        <v>3</v>
      </c>
      <c r="D350" s="12">
        <v>2</v>
      </c>
      <c r="E350" s="12">
        <v>0</v>
      </c>
      <c r="F350" s="12">
        <v>0</v>
      </c>
      <c r="G350" s="12">
        <v>3</v>
      </c>
      <c r="H350" s="42" t="s">
        <v>274</v>
      </c>
      <c r="I350" s="12" t="s">
        <v>273</v>
      </c>
      <c r="J350" s="5">
        <f aca="true" t="shared" si="119" ref="J350:M351">J357</f>
        <v>9327.7</v>
      </c>
      <c r="K350" s="123">
        <f t="shared" si="119"/>
        <v>9146.4</v>
      </c>
      <c r="L350" s="123">
        <f t="shared" si="119"/>
        <v>20785.1</v>
      </c>
      <c r="M350" s="275">
        <f t="shared" si="119"/>
        <v>15306.3</v>
      </c>
      <c r="N350" s="214">
        <f aca="true" t="shared" si="120" ref="N350:U350">N357</f>
        <v>11400</v>
      </c>
      <c r="O350" s="214">
        <v>11480</v>
      </c>
      <c r="P350" s="214">
        <f>P357</f>
        <v>25641.9</v>
      </c>
      <c r="Q350" s="214">
        <f t="shared" si="120"/>
        <v>25642</v>
      </c>
      <c r="R350" s="214">
        <f t="shared" si="120"/>
        <v>2115</v>
      </c>
      <c r="S350" s="214">
        <f t="shared" si="120"/>
        <v>2115</v>
      </c>
      <c r="T350" s="214">
        <f t="shared" si="120"/>
        <v>2115</v>
      </c>
      <c r="U350" s="214">
        <f t="shared" si="120"/>
        <v>2115</v>
      </c>
      <c r="V350" s="217">
        <f>J350+K350+L350+M350+O350+Q350+S350+T350+U350</f>
        <v>98032.5</v>
      </c>
      <c r="W350" s="311">
        <v>2024</v>
      </c>
      <c r="X350" s="40">
        <f t="shared" si="107"/>
        <v>80</v>
      </c>
      <c r="Y350" s="40">
        <f t="shared" si="108"/>
        <v>0.1</v>
      </c>
      <c r="Z350" s="40">
        <f t="shared" si="109"/>
        <v>0</v>
      </c>
      <c r="AA350" s="37"/>
    </row>
    <row r="351" spans="1:27" s="50" customFormat="1" ht="12.75">
      <c r="A351" s="36" t="s">
        <v>272</v>
      </c>
      <c r="B351" s="12">
        <v>1</v>
      </c>
      <c r="C351" s="12">
        <v>3</v>
      </c>
      <c r="D351" s="12">
        <v>2</v>
      </c>
      <c r="E351" s="12">
        <v>0</v>
      </c>
      <c r="F351" s="12">
        <v>0</v>
      </c>
      <c r="G351" s="12">
        <v>2</v>
      </c>
      <c r="H351" s="42" t="s">
        <v>275</v>
      </c>
      <c r="I351" s="12" t="s">
        <v>273</v>
      </c>
      <c r="J351" s="5">
        <f t="shared" si="119"/>
        <v>0</v>
      </c>
      <c r="K351" s="123">
        <f t="shared" si="119"/>
        <v>191.3</v>
      </c>
      <c r="L351" s="123">
        <f t="shared" si="119"/>
        <v>136.7</v>
      </c>
      <c r="M351" s="275">
        <f>M358</f>
        <v>23</v>
      </c>
      <c r="N351" s="214">
        <v>0</v>
      </c>
      <c r="O351" s="214">
        <v>0</v>
      </c>
      <c r="P351" s="214">
        <v>0</v>
      </c>
      <c r="Q351" s="214">
        <v>0</v>
      </c>
      <c r="R351" s="214">
        <f>R358</f>
        <v>0</v>
      </c>
      <c r="S351" s="214">
        <f>S358</f>
        <v>0</v>
      </c>
      <c r="T351" s="214">
        <f>T358</f>
        <v>0</v>
      </c>
      <c r="U351" s="214">
        <f>U358</f>
        <v>0</v>
      </c>
      <c r="V351" s="217">
        <f>J351+K351+L351+M351+O351+Q351+S351+T351+U351</f>
        <v>351</v>
      </c>
      <c r="W351" s="311">
        <v>2019</v>
      </c>
      <c r="X351" s="40">
        <f t="shared" si="107"/>
        <v>0</v>
      </c>
      <c r="Y351" s="40">
        <f t="shared" si="108"/>
        <v>0</v>
      </c>
      <c r="Z351" s="40">
        <f t="shared" si="109"/>
        <v>0</v>
      </c>
      <c r="AA351" s="37"/>
    </row>
    <row r="352" spans="1:26" ht="38.25">
      <c r="A352" s="36" t="s">
        <v>272</v>
      </c>
      <c r="B352" s="12">
        <v>1</v>
      </c>
      <c r="C352" s="12">
        <v>3</v>
      </c>
      <c r="D352" s="12">
        <v>2</v>
      </c>
      <c r="E352" s="12">
        <v>0</v>
      </c>
      <c r="F352" s="12">
        <v>0</v>
      </c>
      <c r="G352" s="14"/>
      <c r="H352" s="63" t="s">
        <v>412</v>
      </c>
      <c r="I352" s="14" t="s">
        <v>278</v>
      </c>
      <c r="J352" s="112">
        <v>22.7</v>
      </c>
      <c r="K352" s="112">
        <v>23.9</v>
      </c>
      <c r="L352" s="112">
        <v>25</v>
      </c>
      <c r="M352" s="281">
        <v>47.7</v>
      </c>
      <c r="N352" s="210">
        <v>65.9</v>
      </c>
      <c r="O352" s="235">
        <v>67</v>
      </c>
      <c r="P352" s="210">
        <v>89.8</v>
      </c>
      <c r="Q352" s="210">
        <v>90.9</v>
      </c>
      <c r="R352" s="210">
        <v>90.9</v>
      </c>
      <c r="S352" s="210">
        <v>92</v>
      </c>
      <c r="T352" s="235">
        <v>93.2</v>
      </c>
      <c r="U352" s="235">
        <v>94.3</v>
      </c>
      <c r="V352" s="309">
        <v>97.7</v>
      </c>
      <c r="W352" s="312">
        <v>2024</v>
      </c>
      <c r="X352" s="40">
        <f t="shared" si="107"/>
        <v>1.1</v>
      </c>
      <c r="Y352" s="40">
        <f t="shared" si="108"/>
        <v>1.1</v>
      </c>
      <c r="Z352" s="40">
        <f t="shared" si="109"/>
        <v>1.1</v>
      </c>
    </row>
    <row r="353" spans="1:26" ht="38.25">
      <c r="A353" s="36" t="s">
        <v>272</v>
      </c>
      <c r="B353" s="12">
        <v>1</v>
      </c>
      <c r="C353" s="12">
        <v>3</v>
      </c>
      <c r="D353" s="12">
        <v>2</v>
      </c>
      <c r="E353" s="12">
        <v>0</v>
      </c>
      <c r="F353" s="12">
        <v>0</v>
      </c>
      <c r="G353" s="15"/>
      <c r="H353" s="72" t="s">
        <v>413</v>
      </c>
      <c r="I353" s="15" t="s">
        <v>312</v>
      </c>
      <c r="J353" s="171">
        <v>61</v>
      </c>
      <c r="K353" s="171">
        <v>46</v>
      </c>
      <c r="L353" s="171">
        <v>33</v>
      </c>
      <c r="M353" s="282">
        <v>32</v>
      </c>
      <c r="N353" s="220">
        <v>15</v>
      </c>
      <c r="O353" s="300">
        <v>17</v>
      </c>
      <c r="P353" s="220">
        <v>39</v>
      </c>
      <c r="Q353" s="220">
        <v>39</v>
      </c>
      <c r="R353" s="220">
        <v>6</v>
      </c>
      <c r="S353" s="220">
        <v>6</v>
      </c>
      <c r="T353" s="220">
        <v>3</v>
      </c>
      <c r="U353" s="220">
        <v>4</v>
      </c>
      <c r="V353" s="315">
        <f>J353+K353+L353+M353+O353+Q353+S353+T353+U353</f>
        <v>241</v>
      </c>
      <c r="W353" s="317">
        <v>2024</v>
      </c>
      <c r="X353" s="40">
        <f t="shared" si="107"/>
        <v>2</v>
      </c>
      <c r="Y353" s="40">
        <f t="shared" si="108"/>
        <v>0</v>
      </c>
      <c r="Z353" s="40">
        <f t="shared" si="109"/>
        <v>0</v>
      </c>
    </row>
    <row r="354" spans="1:26" ht="51">
      <c r="A354" s="51" t="s">
        <v>272</v>
      </c>
      <c r="B354" s="17">
        <v>1</v>
      </c>
      <c r="C354" s="17">
        <v>3</v>
      </c>
      <c r="D354" s="17">
        <v>2</v>
      </c>
      <c r="E354" s="17">
        <v>0</v>
      </c>
      <c r="F354" s="17">
        <v>1</v>
      </c>
      <c r="G354" s="20"/>
      <c r="H354" s="52" t="s">
        <v>61</v>
      </c>
      <c r="I354" s="20" t="s">
        <v>297</v>
      </c>
      <c r="J354" s="23" t="s">
        <v>298</v>
      </c>
      <c r="K354" s="118" t="s">
        <v>298</v>
      </c>
      <c r="L354" s="121" t="s">
        <v>298</v>
      </c>
      <c r="M354" s="197" t="s">
        <v>298</v>
      </c>
      <c r="N354" s="219" t="s">
        <v>298</v>
      </c>
      <c r="O354" s="219" t="s">
        <v>298</v>
      </c>
      <c r="P354" s="219" t="s">
        <v>298</v>
      </c>
      <c r="Q354" s="219" t="s">
        <v>298</v>
      </c>
      <c r="R354" s="219" t="s">
        <v>298</v>
      </c>
      <c r="S354" s="219" t="s">
        <v>298</v>
      </c>
      <c r="T354" s="219" t="s">
        <v>298</v>
      </c>
      <c r="U354" s="219" t="s">
        <v>298</v>
      </c>
      <c r="V354" s="230" t="s">
        <v>298</v>
      </c>
      <c r="W354" s="307">
        <v>2024</v>
      </c>
      <c r="X354" s="40"/>
      <c r="Y354" s="40"/>
      <c r="Z354" s="40"/>
    </row>
    <row r="355" spans="1:26" ht="63.75">
      <c r="A355" s="36" t="s">
        <v>272</v>
      </c>
      <c r="B355" s="12">
        <v>1</v>
      </c>
      <c r="C355" s="12">
        <v>3</v>
      </c>
      <c r="D355" s="12">
        <v>2</v>
      </c>
      <c r="E355" s="12">
        <v>0</v>
      </c>
      <c r="F355" s="12">
        <v>1</v>
      </c>
      <c r="G355" s="14"/>
      <c r="H355" s="63" t="s">
        <v>51</v>
      </c>
      <c r="I355" s="14" t="s">
        <v>312</v>
      </c>
      <c r="J355" s="8">
        <v>1</v>
      </c>
      <c r="K355" s="119">
        <v>1</v>
      </c>
      <c r="L355" s="119">
        <v>1</v>
      </c>
      <c r="M355" s="201">
        <v>1</v>
      </c>
      <c r="N355" s="215">
        <v>1</v>
      </c>
      <c r="O355" s="215">
        <v>1</v>
      </c>
      <c r="P355" s="215">
        <v>1</v>
      </c>
      <c r="Q355" s="215">
        <v>1</v>
      </c>
      <c r="R355" s="215">
        <v>1</v>
      </c>
      <c r="S355" s="215">
        <v>1</v>
      </c>
      <c r="T355" s="215">
        <v>1</v>
      </c>
      <c r="U355" s="215">
        <v>1</v>
      </c>
      <c r="V355" s="223">
        <f>J355+K355+L355+M355+O355+Q355+S355+T355+U355</f>
        <v>9</v>
      </c>
      <c r="W355" s="312">
        <v>2024</v>
      </c>
      <c r="X355" s="40">
        <f t="shared" si="107"/>
        <v>0</v>
      </c>
      <c r="Y355" s="40">
        <f t="shared" si="108"/>
        <v>0</v>
      </c>
      <c r="Z355" s="40">
        <f t="shared" si="109"/>
        <v>0</v>
      </c>
    </row>
    <row r="356" spans="1:27" s="50" customFormat="1" ht="51">
      <c r="A356" s="51" t="s">
        <v>272</v>
      </c>
      <c r="B356" s="17">
        <v>1</v>
      </c>
      <c r="C356" s="17">
        <v>3</v>
      </c>
      <c r="D356" s="17">
        <v>2</v>
      </c>
      <c r="E356" s="17">
        <v>0</v>
      </c>
      <c r="F356" s="17">
        <v>2</v>
      </c>
      <c r="G356" s="17"/>
      <c r="H356" s="53" t="s">
        <v>119</v>
      </c>
      <c r="I356" s="17" t="s">
        <v>273</v>
      </c>
      <c r="J356" s="7">
        <f aca="true" t="shared" si="121" ref="J356:U356">J357+J358</f>
        <v>9327.7</v>
      </c>
      <c r="K356" s="121">
        <f t="shared" si="121"/>
        <v>9337.7</v>
      </c>
      <c r="L356" s="121">
        <f t="shared" si="121"/>
        <v>20921.8</v>
      </c>
      <c r="M356" s="198">
        <f t="shared" si="121"/>
        <v>15329.3</v>
      </c>
      <c r="N356" s="213">
        <f t="shared" si="121"/>
        <v>11400</v>
      </c>
      <c r="O356" s="213">
        <f t="shared" si="121"/>
        <v>11480</v>
      </c>
      <c r="P356" s="213">
        <f t="shared" si="121"/>
        <v>25641.9</v>
      </c>
      <c r="Q356" s="213">
        <f t="shared" si="121"/>
        <v>25642</v>
      </c>
      <c r="R356" s="213">
        <f t="shared" si="121"/>
        <v>2115</v>
      </c>
      <c r="S356" s="213">
        <f t="shared" si="121"/>
        <v>2115</v>
      </c>
      <c r="T356" s="213">
        <f t="shared" si="121"/>
        <v>2115</v>
      </c>
      <c r="U356" s="213">
        <f t="shared" si="121"/>
        <v>2115</v>
      </c>
      <c r="V356" s="216">
        <f>J356+K356+L356+M356+O356+Q356+S356+T356+U356</f>
        <v>98383.5</v>
      </c>
      <c r="W356" s="308">
        <v>2024</v>
      </c>
      <c r="X356" s="40">
        <f t="shared" si="107"/>
        <v>80</v>
      </c>
      <c r="Y356" s="40">
        <f t="shared" si="108"/>
        <v>0.1</v>
      </c>
      <c r="Z356" s="40">
        <f t="shared" si="109"/>
        <v>0</v>
      </c>
      <c r="AA356" s="37"/>
    </row>
    <row r="357" spans="1:27" s="50" customFormat="1" ht="12.75">
      <c r="A357" s="36" t="s">
        <v>272</v>
      </c>
      <c r="B357" s="12">
        <v>1</v>
      </c>
      <c r="C357" s="12">
        <v>3</v>
      </c>
      <c r="D357" s="12">
        <v>2</v>
      </c>
      <c r="E357" s="12">
        <v>0</v>
      </c>
      <c r="F357" s="12">
        <v>2</v>
      </c>
      <c r="G357" s="12">
        <v>3</v>
      </c>
      <c r="H357" s="42" t="s">
        <v>274</v>
      </c>
      <c r="I357" s="12" t="s">
        <v>273</v>
      </c>
      <c r="J357" s="5">
        <f>950+50+6500+499.9+1500-267.2+55+40</f>
        <v>9327.7</v>
      </c>
      <c r="K357" s="123">
        <v>9146.4</v>
      </c>
      <c r="L357" s="123">
        <f>20921.857-136.8</f>
        <v>20785.1</v>
      </c>
      <c r="M357" s="275">
        <v>15306.3</v>
      </c>
      <c r="N357" s="214">
        <f>1400+10000</f>
        <v>11400</v>
      </c>
      <c r="O357" s="214">
        <f>1400+10000+80</f>
        <v>11480</v>
      </c>
      <c r="P357" s="214">
        <v>25641.9</v>
      </c>
      <c r="Q357" s="214">
        <v>25642</v>
      </c>
      <c r="R357" s="214">
        <v>2115</v>
      </c>
      <c r="S357" s="214">
        <v>2115</v>
      </c>
      <c r="T357" s="214">
        <v>2115</v>
      </c>
      <c r="U357" s="214">
        <v>2115</v>
      </c>
      <c r="V357" s="217">
        <f>J357+K357+L357+M357+O357+Q357+S357+T357+U357</f>
        <v>98032.5</v>
      </c>
      <c r="W357" s="311">
        <v>2024</v>
      </c>
      <c r="X357" s="40">
        <f t="shared" si="107"/>
        <v>80</v>
      </c>
      <c r="Y357" s="40">
        <f t="shared" si="108"/>
        <v>0.1</v>
      </c>
      <c r="Z357" s="40">
        <f t="shared" si="109"/>
        <v>0</v>
      </c>
      <c r="AA357" s="37"/>
    </row>
    <row r="358" spans="1:27" s="50" customFormat="1" ht="12.75">
      <c r="A358" s="36" t="s">
        <v>272</v>
      </c>
      <c r="B358" s="12">
        <v>1</v>
      </c>
      <c r="C358" s="12">
        <v>3</v>
      </c>
      <c r="D358" s="12">
        <v>2</v>
      </c>
      <c r="E358" s="12">
        <v>0</v>
      </c>
      <c r="F358" s="12">
        <v>2</v>
      </c>
      <c r="G358" s="12">
        <v>2</v>
      </c>
      <c r="H358" s="42" t="s">
        <v>275</v>
      </c>
      <c r="I358" s="12" t="s">
        <v>273</v>
      </c>
      <c r="J358" s="5">
        <v>0</v>
      </c>
      <c r="K358" s="123">
        <v>191.3</v>
      </c>
      <c r="L358" s="123">
        <v>136.7</v>
      </c>
      <c r="M358" s="275">
        <v>23</v>
      </c>
      <c r="N358" s="214">
        <v>0</v>
      </c>
      <c r="O358" s="214">
        <v>0</v>
      </c>
      <c r="P358" s="214">
        <v>0</v>
      </c>
      <c r="Q358" s="214">
        <v>0</v>
      </c>
      <c r="R358" s="214">
        <v>0</v>
      </c>
      <c r="S358" s="214">
        <v>0</v>
      </c>
      <c r="T358" s="214">
        <v>0</v>
      </c>
      <c r="U358" s="214">
        <v>0</v>
      </c>
      <c r="V358" s="217">
        <f>SUM(J358:U358)</f>
        <v>351</v>
      </c>
      <c r="W358" s="311">
        <v>2019</v>
      </c>
      <c r="X358" s="40">
        <f t="shared" si="107"/>
        <v>0</v>
      </c>
      <c r="Y358" s="40">
        <f t="shared" si="108"/>
        <v>0</v>
      </c>
      <c r="Z358" s="40">
        <f t="shared" si="109"/>
        <v>0</v>
      </c>
      <c r="AA358" s="37"/>
    </row>
    <row r="359" spans="1:26" ht="25.5">
      <c r="A359" s="36" t="s">
        <v>272</v>
      </c>
      <c r="B359" s="12">
        <v>1</v>
      </c>
      <c r="C359" s="12">
        <v>3</v>
      </c>
      <c r="D359" s="12">
        <v>2</v>
      </c>
      <c r="E359" s="12">
        <v>0</v>
      </c>
      <c r="F359" s="12">
        <v>2</v>
      </c>
      <c r="G359" s="14"/>
      <c r="H359" s="63" t="s">
        <v>414</v>
      </c>
      <c r="I359" s="74" t="s">
        <v>312</v>
      </c>
      <c r="J359" s="79">
        <f>195+117</f>
        <v>312</v>
      </c>
      <c r="K359" s="283">
        <f>9+88</f>
        <v>97</v>
      </c>
      <c r="L359" s="171">
        <v>443</v>
      </c>
      <c r="M359" s="284">
        <v>167</v>
      </c>
      <c r="N359" s="248">
        <v>0</v>
      </c>
      <c r="O359" s="248">
        <v>0</v>
      </c>
      <c r="P359" s="248">
        <v>944</v>
      </c>
      <c r="Q359" s="248">
        <v>944</v>
      </c>
      <c r="R359" s="248">
        <v>0</v>
      </c>
      <c r="S359" s="248">
        <v>0</v>
      </c>
      <c r="T359" s="248">
        <v>117</v>
      </c>
      <c r="U359" s="248">
        <v>117</v>
      </c>
      <c r="V359" s="223">
        <f>J359+K359+L359+M359+O359+Q359+S359+T359+U359</f>
        <v>2197</v>
      </c>
      <c r="W359" s="319">
        <v>2024</v>
      </c>
      <c r="X359" s="40">
        <f t="shared" si="107"/>
        <v>0</v>
      </c>
      <c r="Y359" s="40">
        <f t="shared" si="108"/>
        <v>0</v>
      </c>
      <c r="Z359" s="40">
        <f t="shared" si="109"/>
        <v>0</v>
      </c>
    </row>
    <row r="360" spans="1:26" ht="51">
      <c r="A360" s="36" t="s">
        <v>272</v>
      </c>
      <c r="B360" s="12">
        <v>1</v>
      </c>
      <c r="C360" s="12">
        <v>3</v>
      </c>
      <c r="D360" s="12">
        <v>2</v>
      </c>
      <c r="E360" s="12">
        <v>0</v>
      </c>
      <c r="F360" s="12">
        <v>2</v>
      </c>
      <c r="G360" s="14"/>
      <c r="H360" s="63" t="s">
        <v>415</v>
      </c>
      <c r="I360" s="74" t="s">
        <v>312</v>
      </c>
      <c r="J360" s="79">
        <v>180</v>
      </c>
      <c r="K360" s="283">
        <v>12</v>
      </c>
      <c r="L360" s="171">
        <v>47</v>
      </c>
      <c r="M360" s="284">
        <v>21</v>
      </c>
      <c r="N360" s="248">
        <v>0</v>
      </c>
      <c r="O360" s="248">
        <v>0</v>
      </c>
      <c r="P360" s="248">
        <v>0</v>
      </c>
      <c r="Q360" s="248">
        <v>0</v>
      </c>
      <c r="R360" s="248">
        <v>3</v>
      </c>
      <c r="S360" s="248">
        <v>3</v>
      </c>
      <c r="T360" s="248">
        <v>0</v>
      </c>
      <c r="U360" s="248">
        <v>0</v>
      </c>
      <c r="V360" s="223">
        <f>J360+K360+L360+M360+O360+Q360+S360+T360+U360</f>
        <v>263</v>
      </c>
      <c r="W360" s="319">
        <v>2022</v>
      </c>
      <c r="X360" s="40">
        <f t="shared" si="107"/>
        <v>0</v>
      </c>
      <c r="Y360" s="40">
        <f t="shared" si="108"/>
        <v>0</v>
      </c>
      <c r="Z360" s="40">
        <f t="shared" si="109"/>
        <v>0</v>
      </c>
    </row>
    <row r="361" spans="1:26" ht="25.5">
      <c r="A361" s="36" t="s">
        <v>272</v>
      </c>
      <c r="B361" s="12">
        <v>1</v>
      </c>
      <c r="C361" s="12">
        <v>3</v>
      </c>
      <c r="D361" s="12">
        <v>2</v>
      </c>
      <c r="E361" s="12">
        <v>0</v>
      </c>
      <c r="F361" s="12">
        <v>2</v>
      </c>
      <c r="G361" s="14"/>
      <c r="H361" s="63" t="s">
        <v>416</v>
      </c>
      <c r="I361" s="74" t="s">
        <v>410</v>
      </c>
      <c r="J361" s="80">
        <f>3312+120</f>
        <v>3432</v>
      </c>
      <c r="K361" s="285">
        <v>2241.4</v>
      </c>
      <c r="L361" s="171">
        <f>412-20</f>
        <v>392</v>
      </c>
      <c r="M361" s="286">
        <v>1129</v>
      </c>
      <c r="N361" s="249">
        <v>0</v>
      </c>
      <c r="O361" s="249">
        <v>0</v>
      </c>
      <c r="P361" s="249">
        <v>0</v>
      </c>
      <c r="Q361" s="249">
        <v>0</v>
      </c>
      <c r="R361" s="249">
        <v>0</v>
      </c>
      <c r="S361" s="249">
        <v>0</v>
      </c>
      <c r="T361" s="249">
        <v>0</v>
      </c>
      <c r="U361" s="249">
        <v>0</v>
      </c>
      <c r="V361" s="223">
        <f>J361+K361+L361+M361+O361+Q361+S361+T361+U361</f>
        <v>7194</v>
      </c>
      <c r="W361" s="319">
        <v>2019</v>
      </c>
      <c r="X361" s="40">
        <f t="shared" si="107"/>
        <v>0</v>
      </c>
      <c r="Y361" s="40">
        <f t="shared" si="108"/>
        <v>0</v>
      </c>
      <c r="Z361" s="40">
        <f t="shared" si="109"/>
        <v>0</v>
      </c>
    </row>
    <row r="362" spans="1:26" ht="25.5">
      <c r="A362" s="36" t="s">
        <v>272</v>
      </c>
      <c r="B362" s="12">
        <v>1</v>
      </c>
      <c r="C362" s="12">
        <v>3</v>
      </c>
      <c r="D362" s="12">
        <v>2</v>
      </c>
      <c r="E362" s="12">
        <v>0</v>
      </c>
      <c r="F362" s="12">
        <v>2</v>
      </c>
      <c r="G362" s="14"/>
      <c r="H362" s="63" t="s">
        <v>418</v>
      </c>
      <c r="I362" s="74" t="s">
        <v>410</v>
      </c>
      <c r="J362" s="80">
        <f>388+14.4</f>
        <v>402.4</v>
      </c>
      <c r="K362" s="285">
        <v>0</v>
      </c>
      <c r="L362" s="171">
        <v>1938</v>
      </c>
      <c r="M362" s="287">
        <v>900</v>
      </c>
      <c r="N362" s="250">
        <f>5+2176</f>
        <v>2181</v>
      </c>
      <c r="O362" s="250">
        <f>5+2176</f>
        <v>2181</v>
      </c>
      <c r="P362" s="250">
        <v>121</v>
      </c>
      <c r="Q362" s="250">
        <v>121</v>
      </c>
      <c r="R362" s="250">
        <v>0</v>
      </c>
      <c r="S362" s="250">
        <v>0</v>
      </c>
      <c r="T362" s="250">
        <v>0</v>
      </c>
      <c r="U362" s="250">
        <v>0</v>
      </c>
      <c r="V362" s="223">
        <f>J362+K362+L362+M362+O362+Q362+S362+T362+U362</f>
        <v>5542</v>
      </c>
      <c r="W362" s="319">
        <v>2021</v>
      </c>
      <c r="X362" s="40">
        <f t="shared" si="107"/>
        <v>0</v>
      </c>
      <c r="Y362" s="40">
        <f t="shared" si="108"/>
        <v>0</v>
      </c>
      <c r="Z362" s="40">
        <f t="shared" si="109"/>
        <v>0</v>
      </c>
    </row>
    <row r="363" spans="1:26" ht="63.75">
      <c r="A363" s="36" t="s">
        <v>272</v>
      </c>
      <c r="B363" s="12">
        <v>1</v>
      </c>
      <c r="C363" s="12">
        <v>3</v>
      </c>
      <c r="D363" s="12">
        <v>2</v>
      </c>
      <c r="E363" s="12">
        <v>0</v>
      </c>
      <c r="F363" s="12">
        <v>2</v>
      </c>
      <c r="G363" s="14"/>
      <c r="H363" s="172" t="s">
        <v>254</v>
      </c>
      <c r="I363" s="74" t="s">
        <v>312</v>
      </c>
      <c r="J363" s="80">
        <v>0</v>
      </c>
      <c r="K363" s="285">
        <v>0</v>
      </c>
      <c r="L363" s="171">
        <v>0</v>
      </c>
      <c r="M363" s="287">
        <v>0</v>
      </c>
      <c r="N363" s="250">
        <v>15</v>
      </c>
      <c r="O363" s="301">
        <v>17</v>
      </c>
      <c r="P363" s="250">
        <v>0</v>
      </c>
      <c r="Q363" s="250">
        <v>0</v>
      </c>
      <c r="R363" s="250">
        <v>16</v>
      </c>
      <c r="S363" s="250">
        <v>16</v>
      </c>
      <c r="T363" s="250">
        <v>0</v>
      </c>
      <c r="U363" s="250">
        <v>0</v>
      </c>
      <c r="V363" s="221">
        <f>S363</f>
        <v>16</v>
      </c>
      <c r="W363" s="319">
        <v>2022</v>
      </c>
      <c r="X363" s="40">
        <f t="shared" si="107"/>
        <v>2</v>
      </c>
      <c r="Y363" s="40">
        <f t="shared" si="108"/>
        <v>0</v>
      </c>
      <c r="Z363" s="40">
        <f t="shared" si="109"/>
        <v>0</v>
      </c>
    </row>
    <row r="364" spans="1:27" s="99" customFormat="1" ht="38.25">
      <c r="A364" s="94" t="s">
        <v>272</v>
      </c>
      <c r="B364" s="95">
        <v>1</v>
      </c>
      <c r="C364" s="95">
        <v>3</v>
      </c>
      <c r="D364" s="95">
        <v>3</v>
      </c>
      <c r="E364" s="95">
        <v>0</v>
      </c>
      <c r="F364" s="95">
        <v>0</v>
      </c>
      <c r="G364" s="95"/>
      <c r="H364" s="96" t="s">
        <v>372</v>
      </c>
      <c r="I364" s="95" t="s">
        <v>273</v>
      </c>
      <c r="J364" s="97">
        <f aca="true" t="shared" si="122" ref="J364:U364">J365</f>
        <v>11707.8</v>
      </c>
      <c r="K364" s="97">
        <f t="shared" si="122"/>
        <v>21865.7</v>
      </c>
      <c r="L364" s="97">
        <f t="shared" si="122"/>
        <v>32914.3</v>
      </c>
      <c r="M364" s="97">
        <f t="shared" si="122"/>
        <v>14601.7</v>
      </c>
      <c r="N364" s="218">
        <f t="shared" si="122"/>
        <v>6774.1</v>
      </c>
      <c r="O364" s="218">
        <f>O365+O366</f>
        <v>12240.3</v>
      </c>
      <c r="P364" s="218">
        <f>P365</f>
        <v>6852.4</v>
      </c>
      <c r="Q364" s="218">
        <f t="shared" si="122"/>
        <v>6852.4</v>
      </c>
      <c r="R364" s="218">
        <f t="shared" si="122"/>
        <v>6852.4</v>
      </c>
      <c r="S364" s="218">
        <f t="shared" si="122"/>
        <v>6852.4</v>
      </c>
      <c r="T364" s="218">
        <f t="shared" si="122"/>
        <v>6852.4</v>
      </c>
      <c r="U364" s="218">
        <f t="shared" si="122"/>
        <v>6852.4</v>
      </c>
      <c r="V364" s="218">
        <f>J364+K364+L364+M364+O364+Q364+S364+T364+U364</f>
        <v>120739.4</v>
      </c>
      <c r="W364" s="306">
        <v>2024</v>
      </c>
      <c r="X364" s="40">
        <f t="shared" si="107"/>
        <v>5466.2</v>
      </c>
      <c r="Y364" s="40">
        <f t="shared" si="108"/>
        <v>0</v>
      </c>
      <c r="Z364" s="40">
        <f t="shared" si="109"/>
        <v>0</v>
      </c>
      <c r="AA364" s="98"/>
    </row>
    <row r="365" spans="1:27" s="99" customFormat="1" ht="12.75">
      <c r="A365" s="100" t="s">
        <v>272</v>
      </c>
      <c r="B365" s="101">
        <v>1</v>
      </c>
      <c r="C365" s="101">
        <v>3</v>
      </c>
      <c r="D365" s="101">
        <v>3</v>
      </c>
      <c r="E365" s="101">
        <v>0</v>
      </c>
      <c r="F365" s="101">
        <v>0</v>
      </c>
      <c r="G365" s="101">
        <v>3</v>
      </c>
      <c r="H365" s="102" t="s">
        <v>274</v>
      </c>
      <c r="I365" s="101" t="s">
        <v>273</v>
      </c>
      <c r="J365" s="103">
        <f>J380+J376</f>
        <v>11707.8</v>
      </c>
      <c r="K365" s="103">
        <f>K380+K376</f>
        <v>21865.7</v>
      </c>
      <c r="L365" s="103">
        <f>L380+L376</f>
        <v>32914.3</v>
      </c>
      <c r="M365" s="103">
        <f>M380+M376</f>
        <v>14601.7</v>
      </c>
      <c r="N365" s="251">
        <f>N380+N376</f>
        <v>6774.1</v>
      </c>
      <c r="O365" s="251">
        <f aca="true" t="shared" si="123" ref="O365:U365">O380+O376</f>
        <v>6774.1</v>
      </c>
      <c r="P365" s="251">
        <f>P380+P376</f>
        <v>6852.4</v>
      </c>
      <c r="Q365" s="251">
        <f t="shared" si="123"/>
        <v>6852.4</v>
      </c>
      <c r="R365" s="251">
        <f>R380+R376</f>
        <v>6852.4</v>
      </c>
      <c r="S365" s="251">
        <f t="shared" si="123"/>
        <v>6852.4</v>
      </c>
      <c r="T365" s="251">
        <f t="shared" si="123"/>
        <v>6852.4</v>
      </c>
      <c r="U365" s="251">
        <f t="shared" si="123"/>
        <v>6852.4</v>
      </c>
      <c r="V365" s="259">
        <f>J365+K365+L365+M365+O365+Q365+S365+T365+U365</f>
        <v>115273.2</v>
      </c>
      <c r="W365" s="303">
        <v>2024</v>
      </c>
      <c r="X365" s="40">
        <f t="shared" si="107"/>
        <v>0</v>
      </c>
      <c r="Y365" s="40">
        <f t="shared" si="108"/>
        <v>0</v>
      </c>
      <c r="Z365" s="40">
        <f t="shared" si="109"/>
        <v>0</v>
      </c>
      <c r="AA365" s="98"/>
    </row>
    <row r="366" spans="1:27" s="99" customFormat="1" ht="12.75">
      <c r="A366" s="100" t="s">
        <v>272</v>
      </c>
      <c r="B366" s="101">
        <v>1</v>
      </c>
      <c r="C366" s="101">
        <v>3</v>
      </c>
      <c r="D366" s="101">
        <v>3</v>
      </c>
      <c r="E366" s="101">
        <v>0</v>
      </c>
      <c r="F366" s="101">
        <v>0</v>
      </c>
      <c r="G366" s="101">
        <v>2</v>
      </c>
      <c r="H366" s="102" t="s">
        <v>275</v>
      </c>
      <c r="I366" s="101" t="s">
        <v>273</v>
      </c>
      <c r="J366" s="103">
        <v>0</v>
      </c>
      <c r="K366" s="221">
        <v>0</v>
      </c>
      <c r="L366" s="221">
        <v>0</v>
      </c>
      <c r="M366" s="203">
        <v>0</v>
      </c>
      <c r="N366" s="210">
        <v>93.5</v>
      </c>
      <c r="O366" s="251">
        <v>5466.2</v>
      </c>
      <c r="P366" s="210">
        <v>93.5</v>
      </c>
      <c r="Q366" s="271">
        <v>0</v>
      </c>
      <c r="R366" s="210">
        <v>93.5</v>
      </c>
      <c r="S366" s="271">
        <v>0</v>
      </c>
      <c r="T366" s="271">
        <v>0</v>
      </c>
      <c r="U366" s="271">
        <v>0</v>
      </c>
      <c r="V366" s="259">
        <f>J366+K366+L366+M366+O366+Q366+S366+T366+U366</f>
        <v>5466.2</v>
      </c>
      <c r="W366" s="303">
        <v>2020</v>
      </c>
      <c r="X366" s="40">
        <f t="shared" si="107"/>
        <v>5372.7</v>
      </c>
      <c r="Y366" s="40">
        <f t="shared" si="108"/>
        <v>-93.5</v>
      </c>
      <c r="Z366" s="40">
        <f t="shared" si="109"/>
        <v>-93.5</v>
      </c>
      <c r="AA366" s="98"/>
    </row>
    <row r="367" spans="1:27" s="111" customFormat="1" ht="63.75">
      <c r="A367" s="100" t="s">
        <v>272</v>
      </c>
      <c r="B367" s="101">
        <v>1</v>
      </c>
      <c r="C367" s="101">
        <v>3</v>
      </c>
      <c r="D367" s="101">
        <v>3</v>
      </c>
      <c r="E367" s="101">
        <v>0</v>
      </c>
      <c r="F367" s="101">
        <v>0</v>
      </c>
      <c r="G367" s="107"/>
      <c r="H367" s="108" t="s">
        <v>373</v>
      </c>
      <c r="I367" s="107" t="s">
        <v>278</v>
      </c>
      <c r="J367" s="112">
        <v>100</v>
      </c>
      <c r="K367" s="264">
        <v>93.5</v>
      </c>
      <c r="L367" s="264">
        <v>93.5</v>
      </c>
      <c r="M367" s="264">
        <v>94.4</v>
      </c>
      <c r="N367" s="222">
        <v>93.5</v>
      </c>
      <c r="O367" s="210">
        <v>93.5</v>
      </c>
      <c r="P367" s="221">
        <v>93.5</v>
      </c>
      <c r="Q367" s="210">
        <v>93.5</v>
      </c>
      <c r="R367" s="221">
        <v>93.5</v>
      </c>
      <c r="S367" s="210">
        <v>93.5</v>
      </c>
      <c r="T367" s="210">
        <v>93.5</v>
      </c>
      <c r="U367" s="210">
        <v>93.5</v>
      </c>
      <c r="V367" s="312">
        <v>93.5</v>
      </c>
      <c r="W367" s="305">
        <v>2024</v>
      </c>
      <c r="X367" s="40">
        <f t="shared" si="107"/>
        <v>0</v>
      </c>
      <c r="Y367" s="40">
        <f t="shared" si="108"/>
        <v>0</v>
      </c>
      <c r="Z367" s="40">
        <f t="shared" si="109"/>
        <v>0</v>
      </c>
      <c r="AA367" s="110"/>
    </row>
    <row r="368" spans="1:27" s="111" customFormat="1" ht="63.75">
      <c r="A368" s="100" t="s">
        <v>272</v>
      </c>
      <c r="B368" s="101">
        <v>1</v>
      </c>
      <c r="C368" s="101">
        <v>3</v>
      </c>
      <c r="D368" s="101">
        <v>3</v>
      </c>
      <c r="E368" s="101">
        <v>0</v>
      </c>
      <c r="F368" s="101">
        <v>0</v>
      </c>
      <c r="G368" s="107"/>
      <c r="H368" s="108" t="s">
        <v>374</v>
      </c>
      <c r="I368" s="107" t="s">
        <v>278</v>
      </c>
      <c r="J368" s="112">
        <v>100</v>
      </c>
      <c r="K368" s="264">
        <v>96.3</v>
      </c>
      <c r="L368" s="264">
        <v>96.3</v>
      </c>
      <c r="M368" s="204">
        <v>96.3</v>
      </c>
      <c r="N368" s="221">
        <v>96.3</v>
      </c>
      <c r="O368" s="222">
        <v>96.3</v>
      </c>
      <c r="P368" s="221">
        <v>96.3</v>
      </c>
      <c r="Q368" s="221">
        <v>96.3</v>
      </c>
      <c r="R368" s="221">
        <v>96.3</v>
      </c>
      <c r="S368" s="221">
        <v>96.3</v>
      </c>
      <c r="T368" s="221">
        <v>96.3</v>
      </c>
      <c r="U368" s="221">
        <v>96.3</v>
      </c>
      <c r="V368" s="312">
        <v>96.3</v>
      </c>
      <c r="W368" s="305">
        <v>2019</v>
      </c>
      <c r="X368" s="40">
        <f t="shared" si="107"/>
        <v>0</v>
      </c>
      <c r="Y368" s="40">
        <f t="shared" si="108"/>
        <v>0</v>
      </c>
      <c r="Z368" s="40">
        <f t="shared" si="109"/>
        <v>0</v>
      </c>
      <c r="AA368" s="110"/>
    </row>
    <row r="369" spans="1:27" s="111" customFormat="1" ht="51">
      <c r="A369" s="100" t="s">
        <v>272</v>
      </c>
      <c r="B369" s="101">
        <v>1</v>
      </c>
      <c r="C369" s="101">
        <v>3</v>
      </c>
      <c r="D369" s="101">
        <v>3</v>
      </c>
      <c r="E369" s="101">
        <v>0</v>
      </c>
      <c r="F369" s="101">
        <v>0</v>
      </c>
      <c r="G369" s="107"/>
      <c r="H369" s="108" t="s">
        <v>375</v>
      </c>
      <c r="I369" s="107" t="s">
        <v>278</v>
      </c>
      <c r="J369" s="112">
        <v>100</v>
      </c>
      <c r="K369" s="264">
        <v>80.7</v>
      </c>
      <c r="L369" s="264">
        <v>83.1</v>
      </c>
      <c r="M369" s="264">
        <v>88.1</v>
      </c>
      <c r="N369" s="221">
        <v>87.3</v>
      </c>
      <c r="O369" s="221">
        <v>87.3</v>
      </c>
      <c r="P369" s="231">
        <v>87.3</v>
      </c>
      <c r="Q369" s="221">
        <v>87.3</v>
      </c>
      <c r="R369" s="222">
        <v>87.3</v>
      </c>
      <c r="S369" s="221">
        <v>87.3</v>
      </c>
      <c r="T369" s="221">
        <v>87.3</v>
      </c>
      <c r="U369" s="221">
        <v>87.3</v>
      </c>
      <c r="V369" s="222">
        <v>88.9</v>
      </c>
      <c r="W369" s="305">
        <v>2023</v>
      </c>
      <c r="X369" s="40">
        <f t="shared" si="107"/>
        <v>0</v>
      </c>
      <c r="Y369" s="40">
        <f t="shared" si="108"/>
        <v>0</v>
      </c>
      <c r="Z369" s="40">
        <f t="shared" si="109"/>
        <v>0</v>
      </c>
      <c r="AA369" s="110"/>
    </row>
    <row r="370" spans="1:27" s="111" customFormat="1" ht="140.25">
      <c r="A370" s="100" t="s">
        <v>272</v>
      </c>
      <c r="B370" s="101">
        <v>1</v>
      </c>
      <c r="C370" s="101">
        <v>3</v>
      </c>
      <c r="D370" s="101">
        <v>3</v>
      </c>
      <c r="E370" s="101">
        <v>0</v>
      </c>
      <c r="F370" s="101">
        <v>0</v>
      </c>
      <c r="G370" s="107"/>
      <c r="H370" s="108" t="s">
        <v>376</v>
      </c>
      <c r="I370" s="107" t="s">
        <v>278</v>
      </c>
      <c r="J370" s="112">
        <v>51.5</v>
      </c>
      <c r="K370" s="264">
        <v>36.7</v>
      </c>
      <c r="L370" s="264">
        <v>42.4</v>
      </c>
      <c r="M370" s="264">
        <v>47.5</v>
      </c>
      <c r="N370" s="221">
        <v>48.9</v>
      </c>
      <c r="O370" s="290">
        <v>55.4</v>
      </c>
      <c r="P370" s="290">
        <v>59.7</v>
      </c>
      <c r="Q370" s="290">
        <v>66.2</v>
      </c>
      <c r="R370" s="290">
        <v>65.5</v>
      </c>
      <c r="S370" s="290">
        <v>71.9</v>
      </c>
      <c r="T370" s="290">
        <v>73.4</v>
      </c>
      <c r="U370" s="290">
        <v>74.8</v>
      </c>
      <c r="V370" s="222">
        <f>(J370+K370+L370+M370+O370+Q370+S370+T370+U370)/9</f>
        <v>57.8</v>
      </c>
      <c r="W370" s="305">
        <v>2024</v>
      </c>
      <c r="X370" s="40">
        <f>O370-N370</f>
        <v>6.5</v>
      </c>
      <c r="Y370" s="40">
        <f t="shared" si="108"/>
        <v>6.5</v>
      </c>
      <c r="Z370" s="40">
        <f t="shared" si="109"/>
        <v>6.4</v>
      </c>
      <c r="AA370" s="110"/>
    </row>
    <row r="371" spans="1:27" s="111" customFormat="1" ht="114.75">
      <c r="A371" s="100" t="s">
        <v>272</v>
      </c>
      <c r="B371" s="101">
        <v>1</v>
      </c>
      <c r="C371" s="101">
        <v>3</v>
      </c>
      <c r="D371" s="101">
        <v>3</v>
      </c>
      <c r="E371" s="101">
        <v>0</v>
      </c>
      <c r="F371" s="101">
        <v>0</v>
      </c>
      <c r="G371" s="107"/>
      <c r="H371" s="108" t="s">
        <v>377</v>
      </c>
      <c r="I371" s="107" t="s">
        <v>278</v>
      </c>
      <c r="J371" s="112">
        <v>58.4</v>
      </c>
      <c r="K371" s="204">
        <v>18.5</v>
      </c>
      <c r="L371" s="204">
        <v>34.3</v>
      </c>
      <c r="M371" s="203">
        <v>38</v>
      </c>
      <c r="N371" s="210">
        <v>38</v>
      </c>
      <c r="O371" s="221">
        <v>38</v>
      </c>
      <c r="P371" s="210">
        <v>38</v>
      </c>
      <c r="Q371" s="221">
        <v>38</v>
      </c>
      <c r="R371" s="210">
        <v>38</v>
      </c>
      <c r="S371" s="221">
        <v>38</v>
      </c>
      <c r="T371" s="221">
        <v>38</v>
      </c>
      <c r="U371" s="221">
        <v>38</v>
      </c>
      <c r="V371" s="222">
        <f>(J371+K371+L371+M371+O371+Q371+S371+T371+U371)/9</f>
        <v>37.7</v>
      </c>
      <c r="W371" s="305">
        <v>2024</v>
      </c>
      <c r="X371" s="40">
        <f>O371-N371</f>
        <v>0</v>
      </c>
      <c r="Y371" s="40">
        <f t="shared" si="108"/>
        <v>0</v>
      </c>
      <c r="Z371" s="40">
        <f t="shared" si="109"/>
        <v>0</v>
      </c>
      <c r="AA371" s="110"/>
    </row>
    <row r="372" spans="1:27" s="111" customFormat="1" ht="76.5">
      <c r="A372" s="100" t="s">
        <v>272</v>
      </c>
      <c r="B372" s="101">
        <v>1</v>
      </c>
      <c r="C372" s="101">
        <v>3</v>
      </c>
      <c r="D372" s="101">
        <v>3</v>
      </c>
      <c r="E372" s="101">
        <v>0</v>
      </c>
      <c r="F372" s="101">
        <v>0</v>
      </c>
      <c r="G372" s="107"/>
      <c r="H372" s="108" t="s">
        <v>378</v>
      </c>
      <c r="I372" s="107" t="s">
        <v>278</v>
      </c>
      <c r="J372" s="112">
        <v>0</v>
      </c>
      <c r="K372" s="221">
        <v>0</v>
      </c>
      <c r="L372" s="221">
        <v>100</v>
      </c>
      <c r="M372" s="210">
        <v>100</v>
      </c>
      <c r="N372" s="202">
        <v>100</v>
      </c>
      <c r="O372" s="210">
        <v>100</v>
      </c>
      <c r="P372" s="210">
        <v>100</v>
      </c>
      <c r="Q372" s="210">
        <v>100</v>
      </c>
      <c r="R372" s="210">
        <v>100</v>
      </c>
      <c r="S372" s="210">
        <v>100</v>
      </c>
      <c r="T372" s="210">
        <v>100</v>
      </c>
      <c r="U372" s="210">
        <v>100</v>
      </c>
      <c r="V372" s="222">
        <v>100</v>
      </c>
      <c r="W372" s="305">
        <v>2024</v>
      </c>
      <c r="X372" s="40">
        <f t="shared" si="107"/>
        <v>0</v>
      </c>
      <c r="Y372" s="40">
        <f t="shared" si="108"/>
        <v>0</v>
      </c>
      <c r="Z372" s="40">
        <f t="shared" si="109"/>
        <v>0</v>
      </c>
      <c r="AA372" s="110"/>
    </row>
    <row r="373" spans="1:27" s="111" customFormat="1" ht="63.75">
      <c r="A373" s="114" t="s">
        <v>272</v>
      </c>
      <c r="B373" s="115">
        <v>1</v>
      </c>
      <c r="C373" s="115">
        <v>3</v>
      </c>
      <c r="D373" s="115">
        <v>3</v>
      </c>
      <c r="E373" s="115">
        <v>0</v>
      </c>
      <c r="F373" s="115">
        <v>1</v>
      </c>
      <c r="G373" s="116"/>
      <c r="H373" s="117" t="s">
        <v>379</v>
      </c>
      <c r="I373" s="116" t="s">
        <v>297</v>
      </c>
      <c r="J373" s="118" t="s">
        <v>298</v>
      </c>
      <c r="K373" s="230" t="s">
        <v>298</v>
      </c>
      <c r="L373" s="230" t="s">
        <v>298</v>
      </c>
      <c r="M373" s="219" t="s">
        <v>298</v>
      </c>
      <c r="N373" s="219" t="s">
        <v>298</v>
      </c>
      <c r="O373" s="219" t="s">
        <v>298</v>
      </c>
      <c r="P373" s="219" t="s">
        <v>298</v>
      </c>
      <c r="Q373" s="219" t="s">
        <v>298</v>
      </c>
      <c r="R373" s="219" t="s">
        <v>298</v>
      </c>
      <c r="S373" s="219" t="s">
        <v>298</v>
      </c>
      <c r="T373" s="219" t="s">
        <v>298</v>
      </c>
      <c r="U373" s="219" t="s">
        <v>298</v>
      </c>
      <c r="V373" s="219" t="s">
        <v>298</v>
      </c>
      <c r="W373" s="307">
        <v>2024</v>
      </c>
      <c r="X373" s="40"/>
      <c r="Y373" s="40"/>
      <c r="Z373" s="40"/>
      <c r="AA373" s="110"/>
    </row>
    <row r="374" spans="1:27" s="111" customFormat="1" ht="38.25">
      <c r="A374" s="100" t="s">
        <v>272</v>
      </c>
      <c r="B374" s="101">
        <v>1</v>
      </c>
      <c r="C374" s="101">
        <v>3</v>
      </c>
      <c r="D374" s="101">
        <v>3</v>
      </c>
      <c r="E374" s="101">
        <v>0</v>
      </c>
      <c r="F374" s="101">
        <v>1</v>
      </c>
      <c r="G374" s="107"/>
      <c r="H374" s="108" t="s">
        <v>380</v>
      </c>
      <c r="I374" s="107" t="s">
        <v>312</v>
      </c>
      <c r="J374" s="119">
        <v>3</v>
      </c>
      <c r="K374" s="260">
        <v>3</v>
      </c>
      <c r="L374" s="260">
        <v>3</v>
      </c>
      <c r="M374" s="260">
        <v>3</v>
      </c>
      <c r="N374" s="223">
        <v>3</v>
      </c>
      <c r="O374" s="223">
        <v>3</v>
      </c>
      <c r="P374" s="223">
        <v>3</v>
      </c>
      <c r="Q374" s="223">
        <v>3</v>
      </c>
      <c r="R374" s="223">
        <v>3</v>
      </c>
      <c r="S374" s="223">
        <v>3</v>
      </c>
      <c r="T374" s="223">
        <v>3</v>
      </c>
      <c r="U374" s="223">
        <v>3</v>
      </c>
      <c r="V374" s="222">
        <f>J374+K374+L374+M374+O374+Q374+S374+T374+U374</f>
        <v>27</v>
      </c>
      <c r="W374" s="305">
        <v>2024</v>
      </c>
      <c r="X374" s="40">
        <f t="shared" si="107"/>
        <v>0</v>
      </c>
      <c r="Y374" s="40">
        <f t="shared" si="108"/>
        <v>0</v>
      </c>
      <c r="Z374" s="40">
        <f t="shared" si="109"/>
        <v>0</v>
      </c>
      <c r="AA374" s="110"/>
    </row>
    <row r="375" spans="1:27" s="111" customFormat="1" ht="38.25">
      <c r="A375" s="114" t="s">
        <v>272</v>
      </c>
      <c r="B375" s="115">
        <v>1</v>
      </c>
      <c r="C375" s="115">
        <v>3</v>
      </c>
      <c r="D375" s="115">
        <v>3</v>
      </c>
      <c r="E375" s="115">
        <v>0</v>
      </c>
      <c r="F375" s="115">
        <v>2</v>
      </c>
      <c r="G375" s="115"/>
      <c r="H375" s="120" t="s">
        <v>381</v>
      </c>
      <c r="I375" s="115" t="s">
        <v>273</v>
      </c>
      <c r="J375" s="121">
        <f aca="true" t="shared" si="124" ref="J375:U375">J376</f>
        <v>1928.4</v>
      </c>
      <c r="K375" s="216">
        <f>K376</f>
        <v>0</v>
      </c>
      <c r="L375" s="216">
        <f>L376</f>
        <v>1850.7</v>
      </c>
      <c r="M375" s="213">
        <f>M376</f>
        <v>1899.8</v>
      </c>
      <c r="N375" s="213">
        <f>N376</f>
        <v>0</v>
      </c>
      <c r="O375" s="213">
        <f t="shared" si="124"/>
        <v>0</v>
      </c>
      <c r="P375" s="213">
        <f>P376</f>
        <v>0</v>
      </c>
      <c r="Q375" s="213">
        <f t="shared" si="124"/>
        <v>0</v>
      </c>
      <c r="R375" s="213">
        <f>R376</f>
        <v>0</v>
      </c>
      <c r="S375" s="213">
        <f t="shared" si="124"/>
        <v>0</v>
      </c>
      <c r="T375" s="213">
        <f t="shared" si="124"/>
        <v>0</v>
      </c>
      <c r="U375" s="213">
        <f t="shared" si="124"/>
        <v>0</v>
      </c>
      <c r="V375" s="213">
        <f>J375+K375+L375+M375+O375+Q375+S375+T375+U375</f>
        <v>5678.9</v>
      </c>
      <c r="W375" s="308">
        <v>2024</v>
      </c>
      <c r="X375" s="40">
        <f t="shared" si="107"/>
        <v>0</v>
      </c>
      <c r="Y375" s="40">
        <f t="shared" si="108"/>
        <v>0</v>
      </c>
      <c r="Z375" s="40">
        <f t="shared" si="109"/>
        <v>0</v>
      </c>
      <c r="AA375" s="110"/>
    </row>
    <row r="376" spans="1:27" s="111" customFormat="1" ht="12.75">
      <c r="A376" s="100" t="s">
        <v>272</v>
      </c>
      <c r="B376" s="101">
        <v>1</v>
      </c>
      <c r="C376" s="101">
        <v>3</v>
      </c>
      <c r="D376" s="101">
        <v>3</v>
      </c>
      <c r="E376" s="101">
        <v>0</v>
      </c>
      <c r="F376" s="101">
        <v>2</v>
      </c>
      <c r="G376" s="101">
        <v>3</v>
      </c>
      <c r="H376" s="102" t="s">
        <v>274</v>
      </c>
      <c r="I376" s="101" t="s">
        <v>273</v>
      </c>
      <c r="J376" s="123">
        <f>1966.8-38.4</f>
        <v>1928.4</v>
      </c>
      <c r="K376" s="217">
        <v>0</v>
      </c>
      <c r="L376" s="259">
        <v>1850.7</v>
      </c>
      <c r="M376" s="259">
        <v>1899.8</v>
      </c>
      <c r="N376" s="217">
        <v>0</v>
      </c>
      <c r="O376" s="217">
        <v>0</v>
      </c>
      <c r="P376" s="217">
        <v>0</v>
      </c>
      <c r="Q376" s="217">
        <v>0</v>
      </c>
      <c r="R376" s="259">
        <v>0</v>
      </c>
      <c r="S376" s="259">
        <v>0</v>
      </c>
      <c r="T376" s="259">
        <v>0</v>
      </c>
      <c r="U376" s="259">
        <v>0</v>
      </c>
      <c r="V376" s="221">
        <f>J376+K376+L376+M376+O376+Q376+S376+T376+U376</f>
        <v>5678.9</v>
      </c>
      <c r="W376" s="305">
        <v>2024</v>
      </c>
      <c r="X376" s="40">
        <f t="shared" si="107"/>
        <v>0</v>
      </c>
      <c r="Y376" s="40">
        <f t="shared" si="108"/>
        <v>0</v>
      </c>
      <c r="Z376" s="40">
        <f t="shared" si="109"/>
        <v>0</v>
      </c>
      <c r="AA376" s="110"/>
    </row>
    <row r="377" spans="1:27" s="111" customFormat="1" ht="51">
      <c r="A377" s="100" t="s">
        <v>272</v>
      </c>
      <c r="B377" s="101">
        <v>1</v>
      </c>
      <c r="C377" s="101">
        <v>3</v>
      </c>
      <c r="D377" s="101">
        <v>3</v>
      </c>
      <c r="E377" s="101">
        <v>0</v>
      </c>
      <c r="F377" s="101">
        <v>2</v>
      </c>
      <c r="G377" s="107"/>
      <c r="H377" s="124" t="s">
        <v>382</v>
      </c>
      <c r="I377" s="107" t="s">
        <v>312</v>
      </c>
      <c r="J377" s="119">
        <v>9</v>
      </c>
      <c r="K377" s="223">
        <v>0</v>
      </c>
      <c r="L377" s="260">
        <v>0</v>
      </c>
      <c r="M377" s="260">
        <v>0</v>
      </c>
      <c r="N377" s="224">
        <v>0</v>
      </c>
      <c r="O377" s="224">
        <v>0</v>
      </c>
      <c r="P377" s="224">
        <v>0</v>
      </c>
      <c r="Q377" s="224">
        <v>0</v>
      </c>
      <c r="R377" s="224">
        <v>0</v>
      </c>
      <c r="S377" s="224">
        <v>0</v>
      </c>
      <c r="T377" s="224">
        <v>0</v>
      </c>
      <c r="U377" s="224">
        <v>0</v>
      </c>
      <c r="V377" s="231">
        <v>0</v>
      </c>
      <c r="W377" s="252">
        <v>2024</v>
      </c>
      <c r="X377" s="40">
        <f t="shared" si="107"/>
        <v>0</v>
      </c>
      <c r="Y377" s="40">
        <f t="shared" si="108"/>
        <v>0</v>
      </c>
      <c r="Z377" s="40">
        <f t="shared" si="109"/>
        <v>0</v>
      </c>
      <c r="AA377" s="110"/>
    </row>
    <row r="378" spans="1:27" s="111" customFormat="1" ht="51">
      <c r="A378" s="100" t="s">
        <v>272</v>
      </c>
      <c r="B378" s="101">
        <v>1</v>
      </c>
      <c r="C378" s="101">
        <v>3</v>
      </c>
      <c r="D378" s="101">
        <v>3</v>
      </c>
      <c r="E378" s="101">
        <v>0</v>
      </c>
      <c r="F378" s="101">
        <v>2</v>
      </c>
      <c r="G378" s="107"/>
      <c r="H378" s="124" t="s">
        <v>383</v>
      </c>
      <c r="I378" s="107" t="s">
        <v>312</v>
      </c>
      <c r="J378" s="119">
        <v>104</v>
      </c>
      <c r="K378" s="223">
        <v>104</v>
      </c>
      <c r="L378" s="260">
        <v>104</v>
      </c>
      <c r="M378" s="260">
        <v>104</v>
      </c>
      <c r="N378" s="223">
        <v>0</v>
      </c>
      <c r="O378" s="223">
        <v>0</v>
      </c>
      <c r="P378" s="223">
        <v>0</v>
      </c>
      <c r="Q378" s="223">
        <v>0</v>
      </c>
      <c r="R378" s="260">
        <v>0</v>
      </c>
      <c r="S378" s="260">
        <v>0</v>
      </c>
      <c r="T378" s="260">
        <v>0</v>
      </c>
      <c r="U378" s="260">
        <v>0</v>
      </c>
      <c r="V378" s="223">
        <f>SUM(J378:U378)</f>
        <v>416</v>
      </c>
      <c r="W378" s="312">
        <v>2024</v>
      </c>
      <c r="X378" s="40">
        <f t="shared" si="107"/>
        <v>0</v>
      </c>
      <c r="Y378" s="40">
        <f t="shared" si="108"/>
        <v>0</v>
      </c>
      <c r="Z378" s="40">
        <f t="shared" si="109"/>
        <v>0</v>
      </c>
      <c r="AA378" s="110"/>
    </row>
    <row r="379" spans="1:27" s="99" customFormat="1" ht="63.75">
      <c r="A379" s="114" t="s">
        <v>272</v>
      </c>
      <c r="B379" s="115">
        <v>1</v>
      </c>
      <c r="C379" s="115">
        <v>3</v>
      </c>
      <c r="D379" s="115">
        <v>3</v>
      </c>
      <c r="E379" s="115">
        <v>0</v>
      </c>
      <c r="F379" s="115">
        <v>3</v>
      </c>
      <c r="G379" s="115"/>
      <c r="H379" s="120" t="s">
        <v>384</v>
      </c>
      <c r="I379" s="115" t="s">
        <v>273</v>
      </c>
      <c r="J379" s="121">
        <f>J380</f>
        <v>9779.4</v>
      </c>
      <c r="K379" s="216">
        <f>K380</f>
        <v>21865.7</v>
      </c>
      <c r="L379" s="216">
        <f>L380</f>
        <v>31063.6</v>
      </c>
      <c r="M379" s="213">
        <f>M380</f>
        <v>12701.9</v>
      </c>
      <c r="N379" s="213">
        <f>N380</f>
        <v>6774.1</v>
      </c>
      <c r="O379" s="213">
        <f>O380+O381</f>
        <v>12240.3</v>
      </c>
      <c r="P379" s="213">
        <f aca="true" t="shared" si="125" ref="P379:U379">P380</f>
        <v>6852.4</v>
      </c>
      <c r="Q379" s="213">
        <f t="shared" si="125"/>
        <v>6852.4</v>
      </c>
      <c r="R379" s="213">
        <f t="shared" si="125"/>
        <v>6852.4</v>
      </c>
      <c r="S379" s="213">
        <f t="shared" si="125"/>
        <v>6852.4</v>
      </c>
      <c r="T379" s="213">
        <f t="shared" si="125"/>
        <v>6852.4</v>
      </c>
      <c r="U379" s="213">
        <f t="shared" si="125"/>
        <v>6852.4</v>
      </c>
      <c r="V379" s="213">
        <f aca="true" t="shared" si="126" ref="V379:V389">J379+K379+L379+M379+O379+Q379+S379+T379+U379</f>
        <v>115060.5</v>
      </c>
      <c r="W379" s="308">
        <v>2024</v>
      </c>
      <c r="X379" s="40">
        <f t="shared" si="107"/>
        <v>5466.2</v>
      </c>
      <c r="Y379" s="40">
        <f t="shared" si="108"/>
        <v>0</v>
      </c>
      <c r="Z379" s="40">
        <f t="shared" si="109"/>
        <v>0</v>
      </c>
      <c r="AA379" s="98"/>
    </row>
    <row r="380" spans="1:27" s="99" customFormat="1" ht="12.75">
      <c r="A380" s="100" t="s">
        <v>272</v>
      </c>
      <c r="B380" s="101">
        <v>1</v>
      </c>
      <c r="C380" s="101">
        <v>3</v>
      </c>
      <c r="D380" s="101">
        <v>3</v>
      </c>
      <c r="E380" s="101">
        <v>0</v>
      </c>
      <c r="F380" s="101">
        <v>3</v>
      </c>
      <c r="G380" s="101">
        <v>3</v>
      </c>
      <c r="H380" s="102" t="s">
        <v>274</v>
      </c>
      <c r="I380" s="101" t="s">
        <v>273</v>
      </c>
      <c r="J380" s="123">
        <f>9741+38.4</f>
        <v>9779.4</v>
      </c>
      <c r="K380" s="259">
        <f>21865.7</f>
        <v>21865.7</v>
      </c>
      <c r="L380" s="259">
        <f>30932.9+532.8-402.4-0.1+0.3+0.1</f>
        <v>31063.6</v>
      </c>
      <c r="M380" s="259">
        <v>12701.9</v>
      </c>
      <c r="N380" s="225">
        <v>6774.1</v>
      </c>
      <c r="O380" s="225">
        <v>6774.1</v>
      </c>
      <c r="P380" s="225">
        <v>6852.4</v>
      </c>
      <c r="Q380" s="225">
        <v>6852.4</v>
      </c>
      <c r="R380" s="261">
        <v>6852.4</v>
      </c>
      <c r="S380" s="261">
        <v>6852.4</v>
      </c>
      <c r="T380" s="261">
        <v>6852.4</v>
      </c>
      <c r="U380" s="261">
        <v>6852.4</v>
      </c>
      <c r="V380" s="259">
        <f t="shared" si="126"/>
        <v>109594.3</v>
      </c>
      <c r="W380" s="311">
        <v>2024</v>
      </c>
      <c r="X380" s="40">
        <f t="shared" si="107"/>
        <v>0</v>
      </c>
      <c r="Y380" s="40">
        <f t="shared" si="108"/>
        <v>0</v>
      </c>
      <c r="Z380" s="40">
        <f t="shared" si="109"/>
        <v>0</v>
      </c>
      <c r="AA380" s="98"/>
    </row>
    <row r="381" spans="1:27" s="99" customFormat="1" ht="12.75">
      <c r="A381" s="100" t="s">
        <v>272</v>
      </c>
      <c r="B381" s="101">
        <v>1</v>
      </c>
      <c r="C381" s="101">
        <v>3</v>
      </c>
      <c r="D381" s="101">
        <v>3</v>
      </c>
      <c r="E381" s="101">
        <v>0</v>
      </c>
      <c r="F381" s="101">
        <v>3</v>
      </c>
      <c r="G381" s="101">
        <v>2</v>
      </c>
      <c r="H381" s="102" t="s">
        <v>275</v>
      </c>
      <c r="I381" s="101" t="s">
        <v>273</v>
      </c>
      <c r="J381" s="123">
        <v>0</v>
      </c>
      <c r="K381" s="123">
        <v>0</v>
      </c>
      <c r="L381" s="123">
        <v>0</v>
      </c>
      <c r="M381" s="123">
        <v>0</v>
      </c>
      <c r="N381" s="223">
        <v>2</v>
      </c>
      <c r="O381" s="225">
        <v>5466.2</v>
      </c>
      <c r="P381" s="223">
        <v>0</v>
      </c>
      <c r="Q381" s="225">
        <v>0</v>
      </c>
      <c r="R381" s="223">
        <v>0</v>
      </c>
      <c r="S381" s="261">
        <v>0</v>
      </c>
      <c r="T381" s="261">
        <v>0</v>
      </c>
      <c r="U381" s="261">
        <v>0</v>
      </c>
      <c r="V381" s="259">
        <f t="shared" si="126"/>
        <v>5466.2</v>
      </c>
      <c r="W381" s="311">
        <v>2020</v>
      </c>
      <c r="X381" s="40">
        <f t="shared" si="107"/>
        <v>5464.2</v>
      </c>
      <c r="Y381" s="40">
        <f t="shared" si="108"/>
        <v>0</v>
      </c>
      <c r="Z381" s="40">
        <f t="shared" si="109"/>
        <v>0</v>
      </c>
      <c r="AA381" s="98"/>
    </row>
    <row r="382" spans="1:27" s="99" customFormat="1" ht="38.25">
      <c r="A382" s="100" t="s">
        <v>272</v>
      </c>
      <c r="B382" s="101">
        <v>1</v>
      </c>
      <c r="C382" s="101">
        <v>3</v>
      </c>
      <c r="D382" s="101">
        <v>3</v>
      </c>
      <c r="E382" s="101">
        <v>0</v>
      </c>
      <c r="F382" s="101">
        <v>3</v>
      </c>
      <c r="G382" s="107"/>
      <c r="H382" s="124" t="s">
        <v>385</v>
      </c>
      <c r="I382" s="107" t="s">
        <v>312</v>
      </c>
      <c r="J382" s="223">
        <v>15</v>
      </c>
      <c r="K382" s="260">
        <v>22</v>
      </c>
      <c r="L382" s="260">
        <v>26</v>
      </c>
      <c r="M382" s="260">
        <v>17</v>
      </c>
      <c r="N382" s="223">
        <v>2</v>
      </c>
      <c r="O382" s="223">
        <v>2</v>
      </c>
      <c r="P382" s="223">
        <v>0</v>
      </c>
      <c r="Q382" s="223">
        <v>0</v>
      </c>
      <c r="R382" s="260">
        <v>0</v>
      </c>
      <c r="S382" s="223">
        <v>0</v>
      </c>
      <c r="T382" s="223">
        <v>0</v>
      </c>
      <c r="U382" s="223">
        <v>0</v>
      </c>
      <c r="V382" s="222">
        <f t="shared" si="126"/>
        <v>82</v>
      </c>
      <c r="W382" s="312">
        <v>2020</v>
      </c>
      <c r="X382" s="40">
        <f t="shared" si="107"/>
        <v>0</v>
      </c>
      <c r="Y382" s="40">
        <f t="shared" si="108"/>
        <v>0</v>
      </c>
      <c r="Z382" s="40">
        <f t="shared" si="109"/>
        <v>0</v>
      </c>
      <c r="AA382" s="98"/>
    </row>
    <row r="383" spans="1:27" s="111" customFormat="1" ht="63.75">
      <c r="A383" s="100" t="s">
        <v>272</v>
      </c>
      <c r="B383" s="101">
        <v>1</v>
      </c>
      <c r="C383" s="101">
        <v>3</v>
      </c>
      <c r="D383" s="101">
        <v>3</v>
      </c>
      <c r="E383" s="101">
        <v>0</v>
      </c>
      <c r="F383" s="101">
        <v>3</v>
      </c>
      <c r="G383" s="107"/>
      <c r="H383" s="124" t="s">
        <v>386</v>
      </c>
      <c r="I383" s="107" t="s">
        <v>312</v>
      </c>
      <c r="J383" s="223">
        <v>22</v>
      </c>
      <c r="K383" s="260">
        <v>25</v>
      </c>
      <c r="L383" s="260">
        <v>9</v>
      </c>
      <c r="M383" s="224">
        <v>6</v>
      </c>
      <c r="N383" s="223">
        <v>3</v>
      </c>
      <c r="O383" s="224">
        <v>10</v>
      </c>
      <c r="P383" s="223">
        <v>15</v>
      </c>
      <c r="Q383" s="223">
        <v>15</v>
      </c>
      <c r="R383" s="223">
        <v>8</v>
      </c>
      <c r="S383" s="260">
        <v>8</v>
      </c>
      <c r="T383" s="260">
        <v>2</v>
      </c>
      <c r="U383" s="260">
        <v>2</v>
      </c>
      <c r="V383" s="260">
        <f t="shared" si="126"/>
        <v>99</v>
      </c>
      <c r="W383" s="312">
        <v>2024</v>
      </c>
      <c r="X383" s="40">
        <f t="shared" si="107"/>
        <v>7</v>
      </c>
      <c r="Y383" s="40">
        <f t="shared" si="108"/>
        <v>0</v>
      </c>
      <c r="Z383" s="40">
        <f t="shared" si="109"/>
        <v>0</v>
      </c>
      <c r="AA383" s="110"/>
    </row>
    <row r="384" spans="1:27" s="129" customFormat="1" ht="51">
      <c r="A384" s="100" t="s">
        <v>272</v>
      </c>
      <c r="B384" s="101">
        <v>1</v>
      </c>
      <c r="C384" s="101">
        <v>3</v>
      </c>
      <c r="D384" s="101">
        <v>3</v>
      </c>
      <c r="E384" s="101">
        <v>0</v>
      </c>
      <c r="F384" s="101">
        <v>3</v>
      </c>
      <c r="G384" s="107"/>
      <c r="H384" s="124" t="s">
        <v>387</v>
      </c>
      <c r="I384" s="107" t="s">
        <v>312</v>
      </c>
      <c r="J384" s="223">
        <v>0</v>
      </c>
      <c r="K384" s="260">
        <v>13</v>
      </c>
      <c r="L384" s="260">
        <v>17</v>
      </c>
      <c r="M384" s="260">
        <v>5</v>
      </c>
      <c r="N384" s="223">
        <v>0</v>
      </c>
      <c r="O384" s="223">
        <v>0</v>
      </c>
      <c r="P384" s="223">
        <v>0</v>
      </c>
      <c r="Q384" s="223">
        <v>0</v>
      </c>
      <c r="R384" s="223">
        <v>0</v>
      </c>
      <c r="S384" s="223">
        <v>0</v>
      </c>
      <c r="T384" s="223">
        <v>0</v>
      </c>
      <c r="U384" s="223">
        <v>0</v>
      </c>
      <c r="V384" s="260">
        <f t="shared" si="126"/>
        <v>35</v>
      </c>
      <c r="W384" s="305">
        <v>2019</v>
      </c>
      <c r="X384" s="40">
        <f t="shared" si="107"/>
        <v>0</v>
      </c>
      <c r="Y384" s="40">
        <f t="shared" si="108"/>
        <v>0</v>
      </c>
      <c r="Z384" s="40">
        <f t="shared" si="109"/>
        <v>0</v>
      </c>
      <c r="AA384" s="128"/>
    </row>
    <row r="385" spans="1:27" s="111" customFormat="1" ht="76.5">
      <c r="A385" s="100" t="s">
        <v>272</v>
      </c>
      <c r="B385" s="101">
        <v>1</v>
      </c>
      <c r="C385" s="101">
        <v>3</v>
      </c>
      <c r="D385" s="101">
        <v>3</v>
      </c>
      <c r="E385" s="101">
        <v>0</v>
      </c>
      <c r="F385" s="101">
        <v>3</v>
      </c>
      <c r="G385" s="107"/>
      <c r="H385" s="124" t="s">
        <v>388</v>
      </c>
      <c r="I385" s="107" t="s">
        <v>312</v>
      </c>
      <c r="J385" s="223">
        <v>0</v>
      </c>
      <c r="K385" s="260">
        <v>0</v>
      </c>
      <c r="L385" s="260">
        <v>67</v>
      </c>
      <c r="M385" s="223">
        <v>64</v>
      </c>
      <c r="N385" s="223">
        <v>0</v>
      </c>
      <c r="O385" s="223">
        <v>0</v>
      </c>
      <c r="P385" s="223">
        <v>0</v>
      </c>
      <c r="Q385" s="223">
        <v>0</v>
      </c>
      <c r="R385" s="223">
        <v>0</v>
      </c>
      <c r="S385" s="223">
        <v>0</v>
      </c>
      <c r="T385" s="223">
        <v>0</v>
      </c>
      <c r="U385" s="223">
        <v>0</v>
      </c>
      <c r="V385" s="260">
        <f t="shared" si="126"/>
        <v>131</v>
      </c>
      <c r="W385" s="312">
        <v>2023</v>
      </c>
      <c r="X385" s="40">
        <f t="shared" si="107"/>
        <v>0</v>
      </c>
      <c r="Y385" s="40">
        <f t="shared" si="108"/>
        <v>0</v>
      </c>
      <c r="Z385" s="40">
        <f t="shared" si="109"/>
        <v>0</v>
      </c>
      <c r="AA385" s="110"/>
    </row>
    <row r="386" spans="1:27" s="111" customFormat="1" ht="63.75">
      <c r="A386" s="100" t="s">
        <v>272</v>
      </c>
      <c r="B386" s="101">
        <v>1</v>
      </c>
      <c r="C386" s="101">
        <v>3</v>
      </c>
      <c r="D386" s="101">
        <v>3</v>
      </c>
      <c r="E386" s="101">
        <v>0</v>
      </c>
      <c r="F386" s="101">
        <v>3</v>
      </c>
      <c r="G386" s="107"/>
      <c r="H386" s="291" t="s">
        <v>392</v>
      </c>
      <c r="I386" s="199" t="s">
        <v>312</v>
      </c>
      <c r="J386" s="119">
        <v>0</v>
      </c>
      <c r="K386" s="260">
        <v>0</v>
      </c>
      <c r="L386" s="260">
        <v>0</v>
      </c>
      <c r="M386" s="260">
        <v>0</v>
      </c>
      <c r="N386" s="223">
        <v>0</v>
      </c>
      <c r="O386" s="224">
        <v>1</v>
      </c>
      <c r="P386" s="223">
        <v>0</v>
      </c>
      <c r="Q386" s="223">
        <v>0</v>
      </c>
      <c r="R386" s="223">
        <v>0</v>
      </c>
      <c r="S386" s="223">
        <v>0</v>
      </c>
      <c r="T386" s="223">
        <v>0</v>
      </c>
      <c r="U386" s="223">
        <v>0</v>
      </c>
      <c r="V386" s="260">
        <f t="shared" si="126"/>
        <v>1</v>
      </c>
      <c r="W386" s="312">
        <v>2020</v>
      </c>
      <c r="X386" s="40">
        <f t="shared" si="107"/>
        <v>1</v>
      </c>
      <c r="Y386" s="40">
        <f t="shared" si="108"/>
        <v>0</v>
      </c>
      <c r="Z386" s="40">
        <f t="shared" si="109"/>
        <v>0</v>
      </c>
      <c r="AA386" s="110"/>
    </row>
    <row r="387" spans="1:27" s="99" customFormat="1" ht="38.25">
      <c r="A387" s="94" t="s">
        <v>272</v>
      </c>
      <c r="B387" s="95">
        <v>1</v>
      </c>
      <c r="C387" s="95">
        <v>3</v>
      </c>
      <c r="D387" s="95">
        <v>4</v>
      </c>
      <c r="E387" s="95">
        <v>0</v>
      </c>
      <c r="F387" s="95">
        <v>0</v>
      </c>
      <c r="G387" s="95"/>
      <c r="H387" s="96" t="s">
        <v>419</v>
      </c>
      <c r="I387" s="95" t="s">
        <v>273</v>
      </c>
      <c r="J387" s="97">
        <f>J388</f>
        <v>0</v>
      </c>
      <c r="K387" s="97">
        <f>K388</f>
        <v>78.1</v>
      </c>
      <c r="L387" s="97">
        <f>L388</f>
        <v>3275</v>
      </c>
      <c r="M387" s="97">
        <f>M388+M389</f>
        <v>34500.6</v>
      </c>
      <c r="N387" s="218">
        <f>N388+N389</f>
        <v>23973.6</v>
      </c>
      <c r="O387" s="218">
        <f aca="true" t="shared" si="127" ref="O387:U387">O388+O389</f>
        <v>23973.6</v>
      </c>
      <c r="P387" s="218">
        <f>P388+P389</f>
        <v>7780</v>
      </c>
      <c r="Q387" s="218">
        <f t="shared" si="127"/>
        <v>7780</v>
      </c>
      <c r="R387" s="218">
        <f>R388+R389</f>
        <v>26248</v>
      </c>
      <c r="S387" s="218">
        <f t="shared" si="127"/>
        <v>26248</v>
      </c>
      <c r="T387" s="218">
        <f t="shared" si="127"/>
        <v>26248</v>
      </c>
      <c r="U387" s="218">
        <f t="shared" si="127"/>
        <v>26248</v>
      </c>
      <c r="V387" s="218">
        <f t="shared" si="126"/>
        <v>148351.3</v>
      </c>
      <c r="W387" s="306">
        <v>2024</v>
      </c>
      <c r="X387" s="40">
        <f t="shared" si="107"/>
        <v>0</v>
      </c>
      <c r="Y387" s="40">
        <f t="shared" si="108"/>
        <v>0</v>
      </c>
      <c r="Z387" s="40">
        <f t="shared" si="109"/>
        <v>0</v>
      </c>
      <c r="AA387" s="98"/>
    </row>
    <row r="388" spans="1:27" s="99" customFormat="1" ht="12.75">
      <c r="A388" s="100" t="s">
        <v>272</v>
      </c>
      <c r="B388" s="101">
        <v>1</v>
      </c>
      <c r="C388" s="101">
        <v>3</v>
      </c>
      <c r="D388" s="101">
        <v>4</v>
      </c>
      <c r="E388" s="101">
        <v>0</v>
      </c>
      <c r="F388" s="101">
        <v>0</v>
      </c>
      <c r="G388" s="101">
        <v>3</v>
      </c>
      <c r="H388" s="102" t="s">
        <v>274</v>
      </c>
      <c r="I388" s="101" t="s">
        <v>273</v>
      </c>
      <c r="J388" s="103">
        <f aca="true" t="shared" si="128" ref="J388:O388">J397</f>
        <v>0</v>
      </c>
      <c r="K388" s="103">
        <f t="shared" si="128"/>
        <v>78.1</v>
      </c>
      <c r="L388" s="104">
        <f t="shared" si="128"/>
        <v>3275</v>
      </c>
      <c r="M388" s="104">
        <f t="shared" si="128"/>
        <v>33904.2</v>
      </c>
      <c r="N388" s="251">
        <f t="shared" si="128"/>
        <v>23973.6</v>
      </c>
      <c r="O388" s="251">
        <f t="shared" si="128"/>
        <v>23973.6</v>
      </c>
      <c r="P388" s="251">
        <v>7780</v>
      </c>
      <c r="Q388" s="251">
        <v>7780</v>
      </c>
      <c r="R388" s="271">
        <f>R397</f>
        <v>26248</v>
      </c>
      <c r="S388" s="271">
        <f aca="true" t="shared" si="129" ref="S388:U389">S397</f>
        <v>26248</v>
      </c>
      <c r="T388" s="271">
        <f t="shared" si="129"/>
        <v>26248</v>
      </c>
      <c r="U388" s="271">
        <f t="shared" si="129"/>
        <v>26248</v>
      </c>
      <c r="V388" s="259">
        <f t="shared" si="126"/>
        <v>147754.9</v>
      </c>
      <c r="W388" s="303">
        <v>2024</v>
      </c>
      <c r="X388" s="40">
        <f t="shared" si="107"/>
        <v>0</v>
      </c>
      <c r="Y388" s="40">
        <f t="shared" si="108"/>
        <v>0</v>
      </c>
      <c r="Z388" s="40">
        <f t="shared" si="109"/>
        <v>0</v>
      </c>
      <c r="AA388" s="98"/>
    </row>
    <row r="389" spans="1:27" s="99" customFormat="1" ht="12.75">
      <c r="A389" s="100" t="s">
        <v>272</v>
      </c>
      <c r="B389" s="101">
        <v>1</v>
      </c>
      <c r="C389" s="101">
        <v>3</v>
      </c>
      <c r="D389" s="101">
        <v>4</v>
      </c>
      <c r="E389" s="101">
        <v>0</v>
      </c>
      <c r="F389" s="101">
        <v>0</v>
      </c>
      <c r="G389" s="101">
        <v>2</v>
      </c>
      <c r="H389" s="102" t="s">
        <v>275</v>
      </c>
      <c r="I389" s="101" t="s">
        <v>273</v>
      </c>
      <c r="J389" s="103">
        <v>0</v>
      </c>
      <c r="K389" s="103">
        <v>0</v>
      </c>
      <c r="L389" s="104">
        <v>0</v>
      </c>
      <c r="M389" s="104">
        <f>M398</f>
        <v>596.4</v>
      </c>
      <c r="N389" s="251">
        <f>N398</f>
        <v>0</v>
      </c>
      <c r="O389" s="251">
        <f>O398</f>
        <v>0</v>
      </c>
      <c r="P389" s="251">
        <v>0</v>
      </c>
      <c r="Q389" s="251">
        <v>0</v>
      </c>
      <c r="R389" s="271">
        <f>R398</f>
        <v>0</v>
      </c>
      <c r="S389" s="271">
        <f t="shared" si="129"/>
        <v>0</v>
      </c>
      <c r="T389" s="271">
        <f t="shared" si="129"/>
        <v>0</v>
      </c>
      <c r="U389" s="271">
        <f t="shared" si="129"/>
        <v>0</v>
      </c>
      <c r="V389" s="259">
        <f t="shared" si="126"/>
        <v>596.4</v>
      </c>
      <c r="W389" s="303">
        <v>2019</v>
      </c>
      <c r="X389" s="40">
        <f t="shared" si="107"/>
        <v>0</v>
      </c>
      <c r="Y389" s="40">
        <f t="shared" si="108"/>
        <v>0</v>
      </c>
      <c r="Z389" s="40">
        <f t="shared" si="109"/>
        <v>0</v>
      </c>
      <c r="AA389" s="98"/>
    </row>
    <row r="390" spans="1:27" s="111" customFormat="1" ht="38.25">
      <c r="A390" s="100" t="s">
        <v>272</v>
      </c>
      <c r="B390" s="101">
        <v>1</v>
      </c>
      <c r="C390" s="101">
        <v>3</v>
      </c>
      <c r="D390" s="101">
        <v>4</v>
      </c>
      <c r="E390" s="101">
        <v>0</v>
      </c>
      <c r="F390" s="101">
        <v>0</v>
      </c>
      <c r="G390" s="107"/>
      <c r="H390" s="108" t="s">
        <v>420</v>
      </c>
      <c r="I390" s="107" t="s">
        <v>278</v>
      </c>
      <c r="J390" s="107">
        <v>92.9</v>
      </c>
      <c r="K390" s="107">
        <v>66.3</v>
      </c>
      <c r="L390" s="109">
        <v>68.3</v>
      </c>
      <c r="M390" s="199">
        <v>77.2</v>
      </c>
      <c r="N390" s="252">
        <v>77.2</v>
      </c>
      <c r="O390" s="252">
        <v>77.2</v>
      </c>
      <c r="P390" s="252">
        <v>77.2</v>
      </c>
      <c r="Q390" s="252">
        <v>77.2</v>
      </c>
      <c r="R390" s="252">
        <v>77.2</v>
      </c>
      <c r="S390" s="252">
        <v>77.2</v>
      </c>
      <c r="T390" s="252">
        <v>79.2</v>
      </c>
      <c r="U390" s="252">
        <v>85.1</v>
      </c>
      <c r="V390" s="252">
        <v>85.1</v>
      </c>
      <c r="W390" s="305">
        <v>2024</v>
      </c>
      <c r="X390" s="40">
        <f t="shared" si="107"/>
        <v>0</v>
      </c>
      <c r="Y390" s="40">
        <f t="shared" si="108"/>
        <v>0</v>
      </c>
      <c r="Z390" s="40">
        <f t="shared" si="109"/>
        <v>0</v>
      </c>
      <c r="AA390" s="110"/>
    </row>
    <row r="391" spans="1:27" s="111" customFormat="1" ht="38.25">
      <c r="A391" s="100" t="s">
        <v>272</v>
      </c>
      <c r="B391" s="101">
        <v>1</v>
      </c>
      <c r="C391" s="101">
        <v>3</v>
      </c>
      <c r="D391" s="101">
        <v>4</v>
      </c>
      <c r="E391" s="101">
        <v>0</v>
      </c>
      <c r="F391" s="101">
        <v>0</v>
      </c>
      <c r="G391" s="107"/>
      <c r="H391" s="108" t="s">
        <v>421</v>
      </c>
      <c r="I391" s="107" t="s">
        <v>278</v>
      </c>
      <c r="J391" s="112">
        <v>44.6</v>
      </c>
      <c r="K391" s="112">
        <v>44.6</v>
      </c>
      <c r="L391" s="113">
        <v>45.5</v>
      </c>
      <c r="M391" s="199">
        <v>92</v>
      </c>
      <c r="N391" s="252">
        <v>92</v>
      </c>
      <c r="O391" s="252">
        <v>92</v>
      </c>
      <c r="P391" s="252">
        <v>92</v>
      </c>
      <c r="Q391" s="252">
        <v>92</v>
      </c>
      <c r="R391" s="252">
        <v>92</v>
      </c>
      <c r="S391" s="252">
        <v>92</v>
      </c>
      <c r="T391" s="252">
        <v>92</v>
      </c>
      <c r="U391" s="252">
        <v>92</v>
      </c>
      <c r="V391" s="252">
        <v>92</v>
      </c>
      <c r="W391" s="305">
        <v>2019</v>
      </c>
      <c r="X391" s="40">
        <f t="shared" si="107"/>
        <v>0</v>
      </c>
      <c r="Y391" s="40">
        <f t="shared" si="108"/>
        <v>0</v>
      </c>
      <c r="Z391" s="40">
        <f t="shared" si="109"/>
        <v>0</v>
      </c>
      <c r="AA391" s="110"/>
    </row>
    <row r="392" spans="1:27" s="111" customFormat="1" ht="38.25">
      <c r="A392" s="100" t="s">
        <v>272</v>
      </c>
      <c r="B392" s="101">
        <v>1</v>
      </c>
      <c r="C392" s="101">
        <v>3</v>
      </c>
      <c r="D392" s="101">
        <v>4</v>
      </c>
      <c r="E392" s="101">
        <v>0</v>
      </c>
      <c r="F392" s="101">
        <v>0</v>
      </c>
      <c r="G392" s="107"/>
      <c r="H392" s="108" t="s">
        <v>422</v>
      </c>
      <c r="I392" s="107" t="s">
        <v>278</v>
      </c>
      <c r="J392" s="112">
        <v>61.1</v>
      </c>
      <c r="K392" s="112">
        <v>61.1</v>
      </c>
      <c r="L392" s="113">
        <v>61.1</v>
      </c>
      <c r="M392" s="196">
        <v>77.8</v>
      </c>
      <c r="N392" s="231">
        <v>83.3</v>
      </c>
      <c r="O392" s="231">
        <v>83.3</v>
      </c>
      <c r="P392" s="231">
        <v>83.3</v>
      </c>
      <c r="Q392" s="231">
        <v>83.3</v>
      </c>
      <c r="R392" s="231">
        <v>83.3</v>
      </c>
      <c r="S392" s="231">
        <v>83.3</v>
      </c>
      <c r="T392" s="231">
        <v>88.9</v>
      </c>
      <c r="U392" s="231">
        <v>88.9</v>
      </c>
      <c r="V392" s="231">
        <v>88.9</v>
      </c>
      <c r="W392" s="305">
        <v>2023</v>
      </c>
      <c r="X392" s="40">
        <f t="shared" si="107"/>
        <v>0</v>
      </c>
      <c r="Y392" s="40">
        <f t="shared" si="108"/>
        <v>0</v>
      </c>
      <c r="Z392" s="40">
        <f t="shared" si="109"/>
        <v>0</v>
      </c>
      <c r="AA392" s="110"/>
    </row>
    <row r="393" spans="1:27" s="111" customFormat="1" ht="63.75">
      <c r="A393" s="100" t="s">
        <v>272</v>
      </c>
      <c r="B393" s="101">
        <v>1</v>
      </c>
      <c r="C393" s="101">
        <v>3</v>
      </c>
      <c r="D393" s="101">
        <v>4</v>
      </c>
      <c r="E393" s="101">
        <v>0</v>
      </c>
      <c r="F393" s="101">
        <v>0</v>
      </c>
      <c r="G393" s="107"/>
      <c r="H393" s="108" t="s">
        <v>417</v>
      </c>
      <c r="I393" s="107" t="s">
        <v>278</v>
      </c>
      <c r="J393" s="112">
        <v>0</v>
      </c>
      <c r="K393" s="112">
        <v>0</v>
      </c>
      <c r="L393" s="113">
        <v>98.5</v>
      </c>
      <c r="M393" s="113">
        <v>100</v>
      </c>
      <c r="N393" s="221">
        <v>100</v>
      </c>
      <c r="O393" s="221">
        <v>100</v>
      </c>
      <c r="P393" s="221">
        <v>100</v>
      </c>
      <c r="Q393" s="221">
        <v>100</v>
      </c>
      <c r="R393" s="221">
        <v>100</v>
      </c>
      <c r="S393" s="221">
        <v>100</v>
      </c>
      <c r="T393" s="221">
        <v>100</v>
      </c>
      <c r="U393" s="221">
        <v>100</v>
      </c>
      <c r="V393" s="221">
        <v>100</v>
      </c>
      <c r="W393" s="305">
        <v>2024</v>
      </c>
      <c r="X393" s="40">
        <f aca="true" t="shared" si="130" ref="X393:X456">O393-N393</f>
        <v>0</v>
      </c>
      <c r="Y393" s="40">
        <f aca="true" t="shared" si="131" ref="Y393:Y456">Q393-P393</f>
        <v>0</v>
      </c>
      <c r="Z393" s="40">
        <f aca="true" t="shared" si="132" ref="Z393:Z456">S393-R393</f>
        <v>0</v>
      </c>
      <c r="AA393" s="110"/>
    </row>
    <row r="394" spans="1:27" s="111" customFormat="1" ht="63.75">
      <c r="A394" s="114" t="s">
        <v>272</v>
      </c>
      <c r="B394" s="115">
        <v>1</v>
      </c>
      <c r="C394" s="115">
        <v>3</v>
      </c>
      <c r="D394" s="115">
        <v>4</v>
      </c>
      <c r="E394" s="115">
        <v>0</v>
      </c>
      <c r="F394" s="115">
        <v>1</v>
      </c>
      <c r="G394" s="116"/>
      <c r="H394" s="117" t="s">
        <v>23</v>
      </c>
      <c r="I394" s="116" t="s">
        <v>297</v>
      </c>
      <c r="J394" s="118" t="s">
        <v>298</v>
      </c>
      <c r="K394" s="118" t="s">
        <v>298</v>
      </c>
      <c r="L394" s="118" t="s">
        <v>298</v>
      </c>
      <c r="M394" s="197" t="s">
        <v>298</v>
      </c>
      <c r="N394" s="219" t="s">
        <v>298</v>
      </c>
      <c r="O394" s="219" t="s">
        <v>298</v>
      </c>
      <c r="P394" s="219" t="s">
        <v>298</v>
      </c>
      <c r="Q394" s="219" t="s">
        <v>298</v>
      </c>
      <c r="R394" s="219" t="s">
        <v>298</v>
      </c>
      <c r="S394" s="219" t="s">
        <v>298</v>
      </c>
      <c r="T394" s="219" t="s">
        <v>298</v>
      </c>
      <c r="U394" s="219" t="s">
        <v>298</v>
      </c>
      <c r="V394" s="230" t="s">
        <v>298</v>
      </c>
      <c r="W394" s="307">
        <v>2024</v>
      </c>
      <c r="X394" s="40"/>
      <c r="Y394" s="40"/>
      <c r="Z394" s="40"/>
      <c r="AA394" s="110"/>
    </row>
    <row r="395" spans="1:27" s="111" customFormat="1" ht="51">
      <c r="A395" s="100" t="s">
        <v>272</v>
      </c>
      <c r="B395" s="101">
        <v>1</v>
      </c>
      <c r="C395" s="101">
        <v>3</v>
      </c>
      <c r="D395" s="101">
        <v>4</v>
      </c>
      <c r="E395" s="101">
        <v>0</v>
      </c>
      <c r="F395" s="101">
        <v>1</v>
      </c>
      <c r="G395" s="107"/>
      <c r="H395" s="108" t="s">
        <v>0</v>
      </c>
      <c r="I395" s="107" t="s">
        <v>312</v>
      </c>
      <c r="J395" s="119">
        <v>3</v>
      </c>
      <c r="K395" s="119">
        <v>3</v>
      </c>
      <c r="L395" s="119">
        <v>3</v>
      </c>
      <c r="M395" s="201">
        <v>3</v>
      </c>
      <c r="N395" s="215">
        <v>3</v>
      </c>
      <c r="O395" s="215">
        <v>3</v>
      </c>
      <c r="P395" s="215">
        <v>3</v>
      </c>
      <c r="Q395" s="215">
        <v>3</v>
      </c>
      <c r="R395" s="215">
        <v>3</v>
      </c>
      <c r="S395" s="215">
        <v>3</v>
      </c>
      <c r="T395" s="215">
        <v>3</v>
      </c>
      <c r="U395" s="215">
        <v>3</v>
      </c>
      <c r="V395" s="223">
        <f aca="true" t="shared" si="133" ref="V395:V406">J395+K395+L395+M395+O395+Q395+S395+T395+U395</f>
        <v>27</v>
      </c>
      <c r="W395" s="312">
        <v>2024</v>
      </c>
      <c r="X395" s="40">
        <f t="shared" si="130"/>
        <v>0</v>
      </c>
      <c r="Y395" s="40">
        <f t="shared" si="131"/>
        <v>0</v>
      </c>
      <c r="Z395" s="40">
        <f t="shared" si="132"/>
        <v>0</v>
      </c>
      <c r="AA395" s="110"/>
    </row>
    <row r="396" spans="1:27" s="99" customFormat="1" ht="51">
      <c r="A396" s="114" t="s">
        <v>272</v>
      </c>
      <c r="B396" s="115">
        <v>1</v>
      </c>
      <c r="C396" s="115">
        <v>3</v>
      </c>
      <c r="D396" s="115">
        <v>4</v>
      </c>
      <c r="E396" s="115">
        <v>0</v>
      </c>
      <c r="F396" s="115">
        <v>2</v>
      </c>
      <c r="G396" s="115"/>
      <c r="H396" s="120" t="s">
        <v>131</v>
      </c>
      <c r="I396" s="115" t="s">
        <v>273</v>
      </c>
      <c r="J396" s="121">
        <f>J397</f>
        <v>0</v>
      </c>
      <c r="K396" s="121">
        <f>K397</f>
        <v>78.1</v>
      </c>
      <c r="L396" s="121">
        <f>L397</f>
        <v>3275</v>
      </c>
      <c r="M396" s="198">
        <f>M397+M398</f>
        <v>34500.6</v>
      </c>
      <c r="N396" s="213">
        <f>N397+N398</f>
        <v>23973.6</v>
      </c>
      <c r="O396" s="213">
        <f aca="true" t="shared" si="134" ref="O396:U396">O397+O398</f>
        <v>23973.6</v>
      </c>
      <c r="P396" s="213">
        <f>P397+P398</f>
        <v>7780</v>
      </c>
      <c r="Q396" s="213">
        <f t="shared" si="134"/>
        <v>7780</v>
      </c>
      <c r="R396" s="213">
        <f>R397+R398</f>
        <v>26248</v>
      </c>
      <c r="S396" s="213">
        <f t="shared" si="134"/>
        <v>26248</v>
      </c>
      <c r="T396" s="213">
        <f t="shared" si="134"/>
        <v>26248</v>
      </c>
      <c r="U396" s="213">
        <f t="shared" si="134"/>
        <v>26248</v>
      </c>
      <c r="V396" s="213">
        <f t="shared" si="133"/>
        <v>148351.3</v>
      </c>
      <c r="W396" s="308">
        <v>2024</v>
      </c>
      <c r="X396" s="40">
        <f t="shared" si="130"/>
        <v>0</v>
      </c>
      <c r="Y396" s="40">
        <f t="shared" si="131"/>
        <v>0</v>
      </c>
      <c r="Z396" s="40">
        <f t="shared" si="132"/>
        <v>0</v>
      </c>
      <c r="AA396" s="98"/>
    </row>
    <row r="397" spans="1:27" s="99" customFormat="1" ht="12.75">
      <c r="A397" s="100" t="s">
        <v>272</v>
      </c>
      <c r="B397" s="101">
        <v>1</v>
      </c>
      <c r="C397" s="101">
        <v>3</v>
      </c>
      <c r="D397" s="101">
        <v>4</v>
      </c>
      <c r="E397" s="101">
        <v>0</v>
      </c>
      <c r="F397" s="101">
        <v>2</v>
      </c>
      <c r="G397" s="101">
        <v>3</v>
      </c>
      <c r="H397" s="102" t="s">
        <v>274</v>
      </c>
      <c r="I397" s="101" t="s">
        <v>273</v>
      </c>
      <c r="J397" s="122">
        <f>200-200</f>
        <v>0</v>
      </c>
      <c r="K397" s="123">
        <v>78.1</v>
      </c>
      <c r="L397" s="105">
        <v>3275</v>
      </c>
      <c r="M397" s="105">
        <v>33904.2</v>
      </c>
      <c r="N397" s="217">
        <v>23973.6</v>
      </c>
      <c r="O397" s="217">
        <v>23973.6</v>
      </c>
      <c r="P397" s="217">
        <v>7780</v>
      </c>
      <c r="Q397" s="217">
        <v>7780</v>
      </c>
      <c r="R397" s="259">
        <v>26248</v>
      </c>
      <c r="S397" s="259">
        <v>26248</v>
      </c>
      <c r="T397" s="259">
        <v>26248</v>
      </c>
      <c r="U397" s="259">
        <v>26248</v>
      </c>
      <c r="V397" s="259">
        <f t="shared" si="133"/>
        <v>147754.9</v>
      </c>
      <c r="W397" s="311">
        <v>2024</v>
      </c>
      <c r="X397" s="40">
        <f t="shared" si="130"/>
        <v>0</v>
      </c>
      <c r="Y397" s="40">
        <f t="shared" si="131"/>
        <v>0</v>
      </c>
      <c r="Z397" s="40">
        <f t="shared" si="132"/>
        <v>0</v>
      </c>
      <c r="AA397" s="98"/>
    </row>
    <row r="398" spans="1:27" s="99" customFormat="1" ht="12.75">
      <c r="A398" s="100" t="s">
        <v>272</v>
      </c>
      <c r="B398" s="101">
        <v>1</v>
      </c>
      <c r="C398" s="101">
        <v>3</v>
      </c>
      <c r="D398" s="101">
        <v>4</v>
      </c>
      <c r="E398" s="101">
        <v>0</v>
      </c>
      <c r="F398" s="101">
        <v>2</v>
      </c>
      <c r="G398" s="101">
        <v>2</v>
      </c>
      <c r="H398" s="102" t="s">
        <v>275</v>
      </c>
      <c r="I398" s="101" t="s">
        <v>273</v>
      </c>
      <c r="J398" s="122">
        <v>0</v>
      </c>
      <c r="K398" s="123">
        <v>0</v>
      </c>
      <c r="L398" s="105">
        <v>0</v>
      </c>
      <c r="M398" s="105">
        <v>596.4</v>
      </c>
      <c r="N398" s="217">
        <v>0</v>
      </c>
      <c r="O398" s="217">
        <v>0</v>
      </c>
      <c r="P398" s="217">
        <v>0</v>
      </c>
      <c r="Q398" s="217">
        <v>0</v>
      </c>
      <c r="R398" s="259">
        <v>0</v>
      </c>
      <c r="S398" s="259">
        <v>0</v>
      </c>
      <c r="T398" s="259">
        <v>0</v>
      </c>
      <c r="U398" s="259">
        <v>0</v>
      </c>
      <c r="V398" s="259">
        <f t="shared" si="133"/>
        <v>596.4</v>
      </c>
      <c r="W398" s="311">
        <v>2019</v>
      </c>
      <c r="X398" s="40">
        <f t="shared" si="130"/>
        <v>0</v>
      </c>
      <c r="Y398" s="40">
        <f t="shared" si="131"/>
        <v>0</v>
      </c>
      <c r="Z398" s="40">
        <f t="shared" si="132"/>
        <v>0</v>
      </c>
      <c r="AA398" s="98"/>
    </row>
    <row r="399" spans="1:27" s="111" customFormat="1" ht="25.5">
      <c r="A399" s="100" t="s">
        <v>272</v>
      </c>
      <c r="B399" s="101">
        <v>1</v>
      </c>
      <c r="C399" s="101">
        <v>3</v>
      </c>
      <c r="D399" s="101">
        <v>4</v>
      </c>
      <c r="E399" s="101">
        <v>0</v>
      </c>
      <c r="F399" s="101">
        <v>2</v>
      </c>
      <c r="G399" s="107"/>
      <c r="H399" s="124" t="s">
        <v>1</v>
      </c>
      <c r="I399" s="107" t="s">
        <v>312</v>
      </c>
      <c r="J399" s="119">
        <v>0</v>
      </c>
      <c r="K399" s="119">
        <v>2</v>
      </c>
      <c r="L399" s="125">
        <v>3</v>
      </c>
      <c r="M399" s="125">
        <v>8</v>
      </c>
      <c r="N399" s="223">
        <v>0</v>
      </c>
      <c r="O399" s="223">
        <v>0</v>
      </c>
      <c r="P399" s="223">
        <v>0</v>
      </c>
      <c r="Q399" s="223">
        <v>0</v>
      </c>
      <c r="R399" s="260">
        <v>0</v>
      </c>
      <c r="S399" s="260">
        <v>0</v>
      </c>
      <c r="T399" s="260">
        <v>2</v>
      </c>
      <c r="U399" s="260">
        <v>6</v>
      </c>
      <c r="V399" s="260">
        <f t="shared" si="133"/>
        <v>21</v>
      </c>
      <c r="W399" s="312">
        <v>2024</v>
      </c>
      <c r="X399" s="40">
        <f t="shared" si="130"/>
        <v>0</v>
      </c>
      <c r="Y399" s="40">
        <f t="shared" si="131"/>
        <v>0</v>
      </c>
      <c r="Z399" s="40">
        <f t="shared" si="132"/>
        <v>0</v>
      </c>
      <c r="AA399" s="110"/>
    </row>
    <row r="400" spans="1:27" s="129" customFormat="1" ht="38.25">
      <c r="A400" s="126" t="s">
        <v>272</v>
      </c>
      <c r="B400" s="106">
        <v>1</v>
      </c>
      <c r="C400" s="106">
        <v>3</v>
      </c>
      <c r="D400" s="106">
        <v>4</v>
      </c>
      <c r="E400" s="106">
        <v>0</v>
      </c>
      <c r="F400" s="106">
        <v>2</v>
      </c>
      <c r="G400" s="109"/>
      <c r="H400" s="127" t="s">
        <v>140</v>
      </c>
      <c r="I400" s="109" t="s">
        <v>312</v>
      </c>
      <c r="J400" s="125">
        <v>0</v>
      </c>
      <c r="K400" s="125">
        <v>0</v>
      </c>
      <c r="L400" s="125">
        <v>1</v>
      </c>
      <c r="M400" s="119">
        <v>52</v>
      </c>
      <c r="N400" s="223">
        <v>0</v>
      </c>
      <c r="O400" s="223">
        <v>0</v>
      </c>
      <c r="P400" s="223">
        <v>0</v>
      </c>
      <c r="Q400" s="223">
        <v>0</v>
      </c>
      <c r="R400" s="223">
        <v>0</v>
      </c>
      <c r="S400" s="223">
        <v>0</v>
      </c>
      <c r="T400" s="223">
        <v>0</v>
      </c>
      <c r="U400" s="223">
        <v>0</v>
      </c>
      <c r="V400" s="260">
        <f t="shared" si="133"/>
        <v>53</v>
      </c>
      <c r="W400" s="305">
        <v>2019</v>
      </c>
      <c r="X400" s="40">
        <f t="shared" si="130"/>
        <v>0</v>
      </c>
      <c r="Y400" s="40">
        <f t="shared" si="131"/>
        <v>0</v>
      </c>
      <c r="Z400" s="40">
        <f t="shared" si="132"/>
        <v>0</v>
      </c>
      <c r="AA400" s="128"/>
    </row>
    <row r="401" spans="1:27" s="111" customFormat="1" ht="38.25">
      <c r="A401" s="100" t="s">
        <v>272</v>
      </c>
      <c r="B401" s="101">
        <v>1</v>
      </c>
      <c r="C401" s="101">
        <v>3</v>
      </c>
      <c r="D401" s="101">
        <v>4</v>
      </c>
      <c r="E401" s="101">
        <v>0</v>
      </c>
      <c r="F401" s="101">
        <v>2</v>
      </c>
      <c r="G401" s="107"/>
      <c r="H401" s="124" t="s">
        <v>5</v>
      </c>
      <c r="I401" s="107" t="s">
        <v>312</v>
      </c>
      <c r="J401" s="119">
        <v>0</v>
      </c>
      <c r="K401" s="119">
        <v>0</v>
      </c>
      <c r="L401" s="125">
        <v>0</v>
      </c>
      <c r="M401" s="125">
        <v>3</v>
      </c>
      <c r="N401" s="223">
        <v>1</v>
      </c>
      <c r="O401" s="223">
        <v>1</v>
      </c>
      <c r="P401" s="223">
        <v>0</v>
      </c>
      <c r="Q401" s="223">
        <v>0</v>
      </c>
      <c r="R401" s="260">
        <v>0</v>
      </c>
      <c r="S401" s="260">
        <v>0</v>
      </c>
      <c r="T401" s="260">
        <v>1</v>
      </c>
      <c r="U401" s="260">
        <v>0</v>
      </c>
      <c r="V401" s="260">
        <f t="shared" si="133"/>
        <v>5</v>
      </c>
      <c r="W401" s="312">
        <v>2023</v>
      </c>
      <c r="X401" s="40">
        <f t="shared" si="130"/>
        <v>0</v>
      </c>
      <c r="Y401" s="40">
        <f t="shared" si="131"/>
        <v>0</v>
      </c>
      <c r="Z401" s="40">
        <f t="shared" si="132"/>
        <v>0</v>
      </c>
      <c r="AA401" s="110"/>
    </row>
    <row r="402" spans="1:27" s="111" customFormat="1" ht="76.5">
      <c r="A402" s="100" t="s">
        <v>272</v>
      </c>
      <c r="B402" s="101">
        <v>1</v>
      </c>
      <c r="C402" s="101">
        <v>3</v>
      </c>
      <c r="D402" s="101">
        <v>4</v>
      </c>
      <c r="E402" s="101">
        <v>0</v>
      </c>
      <c r="F402" s="101">
        <v>2</v>
      </c>
      <c r="G402" s="107"/>
      <c r="H402" s="124" t="s">
        <v>4</v>
      </c>
      <c r="I402" s="107" t="s">
        <v>312</v>
      </c>
      <c r="J402" s="119">
        <v>0</v>
      </c>
      <c r="K402" s="119">
        <v>0</v>
      </c>
      <c r="L402" s="125">
        <v>65</v>
      </c>
      <c r="M402" s="119">
        <v>62</v>
      </c>
      <c r="N402" s="223">
        <v>0</v>
      </c>
      <c r="O402" s="223">
        <v>0</v>
      </c>
      <c r="P402" s="223">
        <v>0</v>
      </c>
      <c r="Q402" s="223">
        <v>0</v>
      </c>
      <c r="R402" s="223">
        <v>0</v>
      </c>
      <c r="S402" s="223">
        <v>0</v>
      </c>
      <c r="T402" s="223">
        <v>0</v>
      </c>
      <c r="U402" s="223">
        <v>0</v>
      </c>
      <c r="V402" s="260">
        <f t="shared" si="133"/>
        <v>127</v>
      </c>
      <c r="W402" s="312">
        <v>2019</v>
      </c>
      <c r="X402" s="40">
        <f t="shared" si="130"/>
        <v>0</v>
      </c>
      <c r="Y402" s="40">
        <f t="shared" si="131"/>
        <v>0</v>
      </c>
      <c r="Z402" s="40">
        <f t="shared" si="132"/>
        <v>0</v>
      </c>
      <c r="AA402" s="110"/>
    </row>
    <row r="403" spans="1:27" s="111" customFormat="1" ht="38.25">
      <c r="A403" s="100" t="s">
        <v>272</v>
      </c>
      <c r="B403" s="101">
        <v>1</v>
      </c>
      <c r="C403" s="101">
        <v>3</v>
      </c>
      <c r="D403" s="101">
        <v>4</v>
      </c>
      <c r="E403" s="101">
        <v>0</v>
      </c>
      <c r="F403" s="101">
        <v>2</v>
      </c>
      <c r="G403" s="107"/>
      <c r="H403" s="124" t="s">
        <v>56</v>
      </c>
      <c r="I403" s="107" t="s">
        <v>312</v>
      </c>
      <c r="J403" s="119">
        <v>0</v>
      </c>
      <c r="K403" s="119">
        <v>0</v>
      </c>
      <c r="L403" s="125">
        <v>6</v>
      </c>
      <c r="M403" s="125">
        <v>1</v>
      </c>
      <c r="N403" s="223">
        <v>0</v>
      </c>
      <c r="O403" s="223">
        <v>0</v>
      </c>
      <c r="P403" s="223">
        <v>0</v>
      </c>
      <c r="Q403" s="223">
        <v>0</v>
      </c>
      <c r="R403" s="260">
        <v>0</v>
      </c>
      <c r="S403" s="260">
        <v>0</v>
      </c>
      <c r="T403" s="260">
        <v>0</v>
      </c>
      <c r="U403" s="260">
        <v>0</v>
      </c>
      <c r="V403" s="260">
        <f t="shared" si="133"/>
        <v>7</v>
      </c>
      <c r="W403" s="312">
        <v>2019</v>
      </c>
      <c r="X403" s="40">
        <f t="shared" si="130"/>
        <v>0</v>
      </c>
      <c r="Y403" s="40">
        <f t="shared" si="131"/>
        <v>0</v>
      </c>
      <c r="Z403" s="40">
        <f t="shared" si="132"/>
        <v>0</v>
      </c>
      <c r="AA403" s="110"/>
    </row>
    <row r="404" spans="1:109" s="130" customFormat="1" ht="51">
      <c r="A404" s="100" t="s">
        <v>272</v>
      </c>
      <c r="B404" s="101">
        <v>1</v>
      </c>
      <c r="C404" s="101">
        <v>3</v>
      </c>
      <c r="D404" s="101">
        <v>4</v>
      </c>
      <c r="E404" s="101">
        <v>0</v>
      </c>
      <c r="F404" s="101">
        <v>2</v>
      </c>
      <c r="G404" s="107"/>
      <c r="H404" s="124" t="s">
        <v>141</v>
      </c>
      <c r="I404" s="107" t="s">
        <v>312</v>
      </c>
      <c r="J404" s="119">
        <v>0</v>
      </c>
      <c r="K404" s="119">
        <v>0</v>
      </c>
      <c r="L404" s="119">
        <v>0</v>
      </c>
      <c r="M404" s="119">
        <v>3</v>
      </c>
      <c r="N404" s="223">
        <v>4</v>
      </c>
      <c r="O404" s="223">
        <v>4</v>
      </c>
      <c r="P404" s="223">
        <v>3</v>
      </c>
      <c r="Q404" s="223">
        <v>3</v>
      </c>
      <c r="R404" s="223">
        <v>4</v>
      </c>
      <c r="S404" s="223">
        <v>4</v>
      </c>
      <c r="T404" s="223">
        <v>0</v>
      </c>
      <c r="U404" s="223">
        <v>0</v>
      </c>
      <c r="V404" s="260">
        <f t="shared" si="133"/>
        <v>14</v>
      </c>
      <c r="W404" s="312">
        <v>2022</v>
      </c>
      <c r="X404" s="40">
        <f t="shared" si="130"/>
        <v>0</v>
      </c>
      <c r="Y404" s="40">
        <f t="shared" si="131"/>
        <v>0</v>
      </c>
      <c r="Z404" s="40">
        <f t="shared" si="132"/>
        <v>0</v>
      </c>
      <c r="AA404" s="110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1"/>
      <c r="AZ404" s="111"/>
      <c r="BA404" s="111"/>
      <c r="BB404" s="111"/>
      <c r="BC404" s="111"/>
      <c r="BD404" s="111"/>
      <c r="BE404" s="111"/>
      <c r="BF404" s="111"/>
      <c r="BG404" s="111"/>
      <c r="BH404" s="111"/>
      <c r="BI404" s="111"/>
      <c r="BJ404" s="111"/>
      <c r="BK404" s="111"/>
      <c r="BL404" s="111"/>
      <c r="BM404" s="111"/>
      <c r="BN404" s="111"/>
      <c r="BO404" s="111"/>
      <c r="BP404" s="111"/>
      <c r="BQ404" s="111"/>
      <c r="BR404" s="111"/>
      <c r="BS404" s="111"/>
      <c r="BT404" s="111"/>
      <c r="BU404" s="111"/>
      <c r="BV404" s="111"/>
      <c r="BW404" s="111"/>
      <c r="BX404" s="111"/>
      <c r="BY404" s="111"/>
      <c r="BZ404" s="111"/>
      <c r="CA404" s="111"/>
      <c r="CB404" s="111"/>
      <c r="CC404" s="111"/>
      <c r="CD404" s="111"/>
      <c r="CE404" s="111"/>
      <c r="CF404" s="111"/>
      <c r="CG404" s="111"/>
      <c r="CH404" s="111"/>
      <c r="CI404" s="111"/>
      <c r="CJ404" s="111"/>
      <c r="CK404" s="111"/>
      <c r="CL404" s="111"/>
      <c r="CM404" s="111"/>
      <c r="CN404" s="111"/>
      <c r="CO404" s="111"/>
      <c r="CP404" s="111"/>
      <c r="CQ404" s="111"/>
      <c r="CR404" s="111"/>
      <c r="CS404" s="111"/>
      <c r="CT404" s="111"/>
      <c r="CU404" s="111"/>
      <c r="CV404" s="111"/>
      <c r="CW404" s="111"/>
      <c r="CX404" s="111"/>
      <c r="CY404" s="111"/>
      <c r="CZ404" s="111"/>
      <c r="DA404" s="111"/>
      <c r="DB404" s="111"/>
      <c r="DC404" s="111"/>
      <c r="DD404" s="111"/>
      <c r="DE404" s="111"/>
    </row>
    <row r="405" spans="1:27" s="50" customFormat="1" ht="38.25">
      <c r="A405" s="65" t="s">
        <v>272</v>
      </c>
      <c r="B405" s="11">
        <v>1</v>
      </c>
      <c r="C405" s="11">
        <v>3</v>
      </c>
      <c r="D405" s="11">
        <v>5</v>
      </c>
      <c r="E405" s="11">
        <v>0</v>
      </c>
      <c r="F405" s="11">
        <v>0</v>
      </c>
      <c r="G405" s="11"/>
      <c r="H405" s="49" t="s">
        <v>6</v>
      </c>
      <c r="I405" s="11" t="s">
        <v>273</v>
      </c>
      <c r="J405" s="10">
        <f aca="true" t="shared" si="135" ref="J405:Q405">J406</f>
        <v>0</v>
      </c>
      <c r="K405" s="97">
        <f t="shared" si="135"/>
        <v>0</v>
      </c>
      <c r="L405" s="97">
        <f t="shared" si="135"/>
        <v>4118.8</v>
      </c>
      <c r="M405" s="97">
        <f t="shared" si="135"/>
        <v>2867.5</v>
      </c>
      <c r="N405" s="218">
        <f t="shared" si="135"/>
        <v>2166.9</v>
      </c>
      <c r="O405" s="218">
        <f t="shared" si="135"/>
        <v>2167</v>
      </c>
      <c r="P405" s="218">
        <f t="shared" si="135"/>
        <v>1138.2</v>
      </c>
      <c r="Q405" s="218">
        <f t="shared" si="135"/>
        <v>1138.1</v>
      </c>
      <c r="R405" s="218">
        <v>1428.6</v>
      </c>
      <c r="S405" s="218">
        <v>1428.6</v>
      </c>
      <c r="T405" s="218">
        <f>T406</f>
        <v>4118.8</v>
      </c>
      <c r="U405" s="218">
        <f>U406</f>
        <v>2884.2</v>
      </c>
      <c r="V405" s="218">
        <f t="shared" si="133"/>
        <v>18723</v>
      </c>
      <c r="W405" s="306">
        <v>2024</v>
      </c>
      <c r="X405" s="40">
        <f t="shared" si="130"/>
        <v>0.1</v>
      </c>
      <c r="Y405" s="40">
        <f t="shared" si="131"/>
        <v>-0.1</v>
      </c>
      <c r="Z405" s="40">
        <f t="shared" si="132"/>
        <v>0</v>
      </c>
      <c r="AA405" s="37"/>
    </row>
    <row r="406" spans="1:27" s="50" customFormat="1" ht="12.75">
      <c r="A406" s="36" t="s">
        <v>272</v>
      </c>
      <c r="B406" s="12">
        <v>1</v>
      </c>
      <c r="C406" s="12">
        <v>3</v>
      </c>
      <c r="D406" s="12">
        <v>5</v>
      </c>
      <c r="E406" s="12">
        <v>0</v>
      </c>
      <c r="F406" s="12">
        <v>0</v>
      </c>
      <c r="G406" s="12">
        <v>3</v>
      </c>
      <c r="H406" s="42" t="s">
        <v>274</v>
      </c>
      <c r="I406" s="12" t="s">
        <v>273</v>
      </c>
      <c r="J406" s="5">
        <f aca="true" t="shared" si="136" ref="J406:U406">J413</f>
        <v>0</v>
      </c>
      <c r="K406" s="123">
        <f>K413</f>
        <v>0</v>
      </c>
      <c r="L406" s="123">
        <f>L413</f>
        <v>4118.8</v>
      </c>
      <c r="M406" s="275">
        <f>M413</f>
        <v>2867.5</v>
      </c>
      <c r="N406" s="214">
        <f>N413</f>
        <v>2166.9</v>
      </c>
      <c r="O406" s="214">
        <f t="shared" si="136"/>
        <v>2167</v>
      </c>
      <c r="P406" s="214">
        <f>P413</f>
        <v>1138.2</v>
      </c>
      <c r="Q406" s="214">
        <f t="shared" si="136"/>
        <v>1138.1</v>
      </c>
      <c r="R406" s="214">
        <f>R413</f>
        <v>1428.6</v>
      </c>
      <c r="S406" s="214">
        <f t="shared" si="136"/>
        <v>1428.6</v>
      </c>
      <c r="T406" s="214">
        <f t="shared" si="136"/>
        <v>4118.8</v>
      </c>
      <c r="U406" s="214">
        <f t="shared" si="136"/>
        <v>2884.2</v>
      </c>
      <c r="V406" s="217">
        <f t="shared" si="133"/>
        <v>18723</v>
      </c>
      <c r="W406" s="311">
        <v>2024</v>
      </c>
      <c r="X406" s="40">
        <f t="shared" si="130"/>
        <v>0.1</v>
      </c>
      <c r="Y406" s="40">
        <f t="shared" si="131"/>
        <v>-0.1</v>
      </c>
      <c r="Z406" s="40">
        <f t="shared" si="132"/>
        <v>0</v>
      </c>
      <c r="AA406" s="37"/>
    </row>
    <row r="407" spans="1:26" ht="51">
      <c r="A407" s="36" t="s">
        <v>272</v>
      </c>
      <c r="B407" s="12">
        <v>1</v>
      </c>
      <c r="C407" s="12">
        <v>3</v>
      </c>
      <c r="D407" s="12">
        <v>5</v>
      </c>
      <c r="E407" s="12">
        <v>0</v>
      </c>
      <c r="F407" s="12">
        <v>0</v>
      </c>
      <c r="G407" s="14"/>
      <c r="H407" s="58" t="s">
        <v>240</v>
      </c>
      <c r="I407" s="14" t="s">
        <v>278</v>
      </c>
      <c r="J407" s="9">
        <v>100</v>
      </c>
      <c r="K407" s="112">
        <v>100</v>
      </c>
      <c r="L407" s="112">
        <v>100</v>
      </c>
      <c r="M407" s="196">
        <v>100</v>
      </c>
      <c r="N407" s="210">
        <v>100</v>
      </c>
      <c r="O407" s="210">
        <v>100</v>
      </c>
      <c r="P407" s="210">
        <v>100</v>
      </c>
      <c r="Q407" s="210">
        <v>100</v>
      </c>
      <c r="R407" s="210">
        <v>100</v>
      </c>
      <c r="S407" s="210">
        <v>100</v>
      </c>
      <c r="T407" s="210">
        <v>100</v>
      </c>
      <c r="U407" s="210">
        <v>100</v>
      </c>
      <c r="V407" s="221">
        <v>100</v>
      </c>
      <c r="W407" s="312">
        <v>2024</v>
      </c>
      <c r="X407" s="40">
        <f t="shared" si="130"/>
        <v>0</v>
      </c>
      <c r="Y407" s="40">
        <f t="shared" si="131"/>
        <v>0</v>
      </c>
      <c r="Z407" s="40">
        <f t="shared" si="132"/>
        <v>0</v>
      </c>
    </row>
    <row r="408" spans="1:26" ht="63.75">
      <c r="A408" s="36" t="s">
        <v>272</v>
      </c>
      <c r="B408" s="12">
        <v>1</v>
      </c>
      <c r="C408" s="12">
        <v>3</v>
      </c>
      <c r="D408" s="12">
        <v>5</v>
      </c>
      <c r="E408" s="12">
        <v>0</v>
      </c>
      <c r="F408" s="12">
        <v>0</v>
      </c>
      <c r="G408" s="14"/>
      <c r="H408" s="58" t="s">
        <v>258</v>
      </c>
      <c r="I408" s="14" t="s">
        <v>278</v>
      </c>
      <c r="J408" s="9">
        <v>84.8</v>
      </c>
      <c r="K408" s="112">
        <v>84.8</v>
      </c>
      <c r="L408" s="113">
        <v>59.2</v>
      </c>
      <c r="M408" s="112">
        <v>9.9</v>
      </c>
      <c r="N408" s="221">
        <v>16.5</v>
      </c>
      <c r="O408" s="221">
        <v>16.5</v>
      </c>
      <c r="P408" s="221">
        <v>8.2</v>
      </c>
      <c r="Q408" s="221">
        <v>8.2</v>
      </c>
      <c r="R408" s="222">
        <v>8.7</v>
      </c>
      <c r="S408" s="222">
        <v>8.7</v>
      </c>
      <c r="T408" s="222">
        <v>59.2</v>
      </c>
      <c r="U408" s="222">
        <v>9.9</v>
      </c>
      <c r="V408" s="222">
        <v>100</v>
      </c>
      <c r="W408" s="312">
        <v>2024</v>
      </c>
      <c r="X408" s="40">
        <f t="shared" si="130"/>
        <v>0</v>
      </c>
      <c r="Y408" s="40">
        <f t="shared" si="131"/>
        <v>0</v>
      </c>
      <c r="Z408" s="40">
        <f t="shared" si="132"/>
        <v>0</v>
      </c>
    </row>
    <row r="409" spans="1:26" ht="48.75" customHeight="1">
      <c r="A409" s="36"/>
      <c r="B409" s="12">
        <v>1</v>
      </c>
      <c r="C409" s="12">
        <v>3</v>
      </c>
      <c r="D409" s="12">
        <v>5</v>
      </c>
      <c r="E409" s="12">
        <v>0</v>
      </c>
      <c r="F409" s="12">
        <v>0</v>
      </c>
      <c r="G409" s="14"/>
      <c r="H409" s="58" t="s">
        <v>288</v>
      </c>
      <c r="I409" s="14" t="s">
        <v>278</v>
      </c>
      <c r="J409" s="9">
        <v>0</v>
      </c>
      <c r="K409" s="112">
        <v>0</v>
      </c>
      <c r="L409" s="113">
        <v>20.2</v>
      </c>
      <c r="M409" s="112">
        <v>58.7</v>
      </c>
      <c r="N409" s="221">
        <v>100</v>
      </c>
      <c r="O409" s="221">
        <v>100</v>
      </c>
      <c r="P409" s="221">
        <v>6.2</v>
      </c>
      <c r="Q409" s="221">
        <v>6.2</v>
      </c>
      <c r="R409" s="222">
        <v>17.6</v>
      </c>
      <c r="S409" s="222">
        <v>17.6</v>
      </c>
      <c r="T409" s="222">
        <v>29.8</v>
      </c>
      <c r="U409" s="222">
        <v>58.7</v>
      </c>
      <c r="V409" s="222">
        <v>100</v>
      </c>
      <c r="W409" s="312">
        <v>2024</v>
      </c>
      <c r="X409" s="40">
        <f t="shared" si="130"/>
        <v>0</v>
      </c>
      <c r="Y409" s="40">
        <f t="shared" si="131"/>
        <v>0</v>
      </c>
      <c r="Z409" s="40">
        <f t="shared" si="132"/>
        <v>0</v>
      </c>
    </row>
    <row r="410" spans="1:26" ht="51">
      <c r="A410" s="51" t="s">
        <v>272</v>
      </c>
      <c r="B410" s="17">
        <v>1</v>
      </c>
      <c r="C410" s="17">
        <v>3</v>
      </c>
      <c r="D410" s="17">
        <v>5</v>
      </c>
      <c r="E410" s="17">
        <v>0</v>
      </c>
      <c r="F410" s="17">
        <v>1</v>
      </c>
      <c r="G410" s="20"/>
      <c r="H410" s="52" t="s">
        <v>24</v>
      </c>
      <c r="I410" s="20" t="s">
        <v>297</v>
      </c>
      <c r="J410" s="23" t="s">
        <v>298</v>
      </c>
      <c r="K410" s="118" t="s">
        <v>298</v>
      </c>
      <c r="L410" s="118" t="s">
        <v>298</v>
      </c>
      <c r="M410" s="197" t="s">
        <v>298</v>
      </c>
      <c r="N410" s="230" t="s">
        <v>298</v>
      </c>
      <c r="O410" s="230" t="s">
        <v>298</v>
      </c>
      <c r="P410" s="230" t="s">
        <v>298</v>
      </c>
      <c r="Q410" s="230" t="s">
        <v>298</v>
      </c>
      <c r="R410" s="219" t="s">
        <v>298</v>
      </c>
      <c r="S410" s="219" t="s">
        <v>298</v>
      </c>
      <c r="T410" s="219" t="s">
        <v>298</v>
      </c>
      <c r="U410" s="219" t="s">
        <v>298</v>
      </c>
      <c r="V410" s="230" t="s">
        <v>298</v>
      </c>
      <c r="W410" s="307">
        <v>2024</v>
      </c>
      <c r="X410" s="40"/>
      <c r="Y410" s="40"/>
      <c r="Z410" s="40"/>
    </row>
    <row r="411" spans="1:27" s="111" customFormat="1" ht="38.25">
      <c r="A411" s="100" t="s">
        <v>272</v>
      </c>
      <c r="B411" s="101">
        <v>1</v>
      </c>
      <c r="C411" s="101">
        <v>3</v>
      </c>
      <c r="D411" s="101">
        <v>5</v>
      </c>
      <c r="E411" s="101">
        <v>0</v>
      </c>
      <c r="F411" s="101">
        <v>1</v>
      </c>
      <c r="G411" s="107"/>
      <c r="H411" s="108" t="s">
        <v>7</v>
      </c>
      <c r="I411" s="107" t="s">
        <v>312</v>
      </c>
      <c r="J411" s="119">
        <v>68</v>
      </c>
      <c r="K411" s="119">
        <v>68</v>
      </c>
      <c r="L411" s="119">
        <v>67</v>
      </c>
      <c r="M411" s="201">
        <v>66</v>
      </c>
      <c r="N411" s="224">
        <v>64</v>
      </c>
      <c r="O411" s="224">
        <v>64</v>
      </c>
      <c r="P411" s="224">
        <v>64</v>
      </c>
      <c r="Q411" s="224">
        <v>64</v>
      </c>
      <c r="R411" s="224">
        <v>64</v>
      </c>
      <c r="S411" s="224">
        <v>64</v>
      </c>
      <c r="T411" s="224">
        <v>64</v>
      </c>
      <c r="U411" s="224">
        <v>64</v>
      </c>
      <c r="V411" s="215">
        <v>64</v>
      </c>
      <c r="W411" s="312">
        <v>2024</v>
      </c>
      <c r="X411" s="40">
        <f t="shared" si="130"/>
        <v>0</v>
      </c>
      <c r="Y411" s="40">
        <f t="shared" si="131"/>
        <v>0</v>
      </c>
      <c r="Z411" s="40">
        <f t="shared" si="132"/>
        <v>0</v>
      </c>
      <c r="AA411" s="110"/>
    </row>
    <row r="412" spans="1:27" s="50" customFormat="1" ht="51">
      <c r="A412" s="51" t="s">
        <v>272</v>
      </c>
      <c r="B412" s="17">
        <v>1</v>
      </c>
      <c r="C412" s="17">
        <v>3</v>
      </c>
      <c r="D412" s="17">
        <v>5</v>
      </c>
      <c r="E412" s="17">
        <v>0</v>
      </c>
      <c r="F412" s="17">
        <v>2</v>
      </c>
      <c r="G412" s="17"/>
      <c r="H412" s="53" t="s">
        <v>120</v>
      </c>
      <c r="I412" s="17" t="s">
        <v>273</v>
      </c>
      <c r="J412" s="7">
        <f aca="true" t="shared" si="137" ref="J412:Q412">J413</f>
        <v>0</v>
      </c>
      <c r="K412" s="121">
        <f t="shared" si="137"/>
        <v>0</v>
      </c>
      <c r="L412" s="121">
        <f t="shared" si="137"/>
        <v>4118.8</v>
      </c>
      <c r="M412" s="198">
        <f t="shared" si="137"/>
        <v>2867.5</v>
      </c>
      <c r="N412" s="213">
        <f t="shared" si="137"/>
        <v>2166.9</v>
      </c>
      <c r="O412" s="213">
        <f t="shared" si="137"/>
        <v>2167</v>
      </c>
      <c r="P412" s="213">
        <f t="shared" si="137"/>
        <v>1138.2</v>
      </c>
      <c r="Q412" s="213">
        <f t="shared" si="137"/>
        <v>1138.1</v>
      </c>
      <c r="R412" s="213">
        <v>1428.6</v>
      </c>
      <c r="S412" s="213">
        <v>1428.6</v>
      </c>
      <c r="T412" s="213">
        <v>4118.8</v>
      </c>
      <c r="U412" s="213">
        <v>2884.2</v>
      </c>
      <c r="V412" s="216">
        <f aca="true" t="shared" si="138" ref="V412:V424">J412+K412+L412+M412+O412+Q412+S412+T412+U412</f>
        <v>18723</v>
      </c>
      <c r="W412" s="308">
        <v>2024</v>
      </c>
      <c r="X412" s="40">
        <f t="shared" si="130"/>
        <v>0.1</v>
      </c>
      <c r="Y412" s="40">
        <f t="shared" si="131"/>
        <v>-0.1</v>
      </c>
      <c r="Z412" s="40">
        <f t="shared" si="132"/>
        <v>0</v>
      </c>
      <c r="AA412" s="37"/>
    </row>
    <row r="413" spans="1:27" s="50" customFormat="1" ht="12.75">
      <c r="A413" s="36" t="s">
        <v>272</v>
      </c>
      <c r="B413" s="12">
        <v>1</v>
      </c>
      <c r="C413" s="12">
        <v>3</v>
      </c>
      <c r="D413" s="12">
        <v>5</v>
      </c>
      <c r="E413" s="12">
        <v>0</v>
      </c>
      <c r="F413" s="12">
        <v>2</v>
      </c>
      <c r="G413" s="12">
        <v>3</v>
      </c>
      <c r="H413" s="42" t="s">
        <v>274</v>
      </c>
      <c r="I413" s="12" t="s">
        <v>273</v>
      </c>
      <c r="J413" s="18">
        <v>0</v>
      </c>
      <c r="K413" s="200">
        <v>0</v>
      </c>
      <c r="L413" s="200">
        <v>4118.8</v>
      </c>
      <c r="M413" s="288">
        <v>2867.5</v>
      </c>
      <c r="N413" s="214">
        <v>2166.9</v>
      </c>
      <c r="O413" s="214">
        <v>2167</v>
      </c>
      <c r="P413" s="232">
        <v>1138.2</v>
      </c>
      <c r="Q413" s="232">
        <v>1138.1</v>
      </c>
      <c r="R413" s="232">
        <v>1428.6</v>
      </c>
      <c r="S413" s="232">
        <v>1428.6</v>
      </c>
      <c r="T413" s="232">
        <v>4118.8</v>
      </c>
      <c r="U413" s="232">
        <v>2884.2</v>
      </c>
      <c r="V413" s="217">
        <f t="shared" si="138"/>
        <v>18723</v>
      </c>
      <c r="W413" s="311">
        <v>2024</v>
      </c>
      <c r="X413" s="40">
        <f t="shared" si="130"/>
        <v>0.1</v>
      </c>
      <c r="Y413" s="40">
        <f t="shared" si="131"/>
        <v>-0.1</v>
      </c>
      <c r="Z413" s="40">
        <f t="shared" si="132"/>
        <v>0</v>
      </c>
      <c r="AA413" s="37"/>
    </row>
    <row r="414" spans="1:26" ht="52.5" customHeight="1">
      <c r="A414" s="36" t="s">
        <v>272</v>
      </c>
      <c r="B414" s="12">
        <v>1</v>
      </c>
      <c r="C414" s="12">
        <v>3</v>
      </c>
      <c r="D414" s="12">
        <v>5</v>
      </c>
      <c r="E414" s="12">
        <v>0</v>
      </c>
      <c r="F414" s="12">
        <v>2</v>
      </c>
      <c r="G414" s="14"/>
      <c r="H414" s="63" t="s">
        <v>229</v>
      </c>
      <c r="I414" s="14" t="s">
        <v>312</v>
      </c>
      <c r="J414" s="8">
        <v>0</v>
      </c>
      <c r="K414" s="119">
        <v>0</v>
      </c>
      <c r="L414" s="125">
        <v>2550</v>
      </c>
      <c r="M414" s="119">
        <v>426</v>
      </c>
      <c r="N414" s="223">
        <v>711</v>
      </c>
      <c r="O414" s="223">
        <v>711</v>
      </c>
      <c r="P414" s="223">
        <v>355</v>
      </c>
      <c r="Q414" s="223">
        <v>355</v>
      </c>
      <c r="R414" s="223">
        <v>373</v>
      </c>
      <c r="S414" s="223">
        <v>373</v>
      </c>
      <c r="T414" s="260">
        <v>2550</v>
      </c>
      <c r="U414" s="260">
        <v>426</v>
      </c>
      <c r="V414" s="260">
        <f t="shared" si="138"/>
        <v>7391</v>
      </c>
      <c r="W414" s="312">
        <v>2024</v>
      </c>
      <c r="X414" s="40">
        <f t="shared" si="130"/>
        <v>0</v>
      </c>
      <c r="Y414" s="40">
        <f t="shared" si="131"/>
        <v>0</v>
      </c>
      <c r="Z414" s="40">
        <f t="shared" si="132"/>
        <v>0</v>
      </c>
    </row>
    <row r="415" spans="1:26" ht="25.5">
      <c r="A415" s="36" t="s">
        <v>272</v>
      </c>
      <c r="B415" s="12">
        <v>1</v>
      </c>
      <c r="C415" s="12">
        <v>3</v>
      </c>
      <c r="D415" s="12">
        <v>5</v>
      </c>
      <c r="E415" s="12">
        <v>0</v>
      </c>
      <c r="F415" s="12">
        <v>2</v>
      </c>
      <c r="G415" s="14"/>
      <c r="H415" s="63" t="s">
        <v>230</v>
      </c>
      <c r="I415" s="14" t="s">
        <v>312</v>
      </c>
      <c r="J415" s="8">
        <v>0</v>
      </c>
      <c r="K415" s="119">
        <v>0</v>
      </c>
      <c r="L415" s="125">
        <v>0</v>
      </c>
      <c r="M415" s="119">
        <v>55</v>
      </c>
      <c r="N415" s="223">
        <v>0</v>
      </c>
      <c r="O415" s="223">
        <v>0</v>
      </c>
      <c r="P415" s="223">
        <v>0</v>
      </c>
      <c r="Q415" s="223">
        <v>0</v>
      </c>
      <c r="R415" s="223">
        <v>0</v>
      </c>
      <c r="S415" s="223">
        <v>0</v>
      </c>
      <c r="T415" s="260">
        <v>0</v>
      </c>
      <c r="U415" s="260">
        <v>0</v>
      </c>
      <c r="V415" s="260">
        <f t="shared" si="138"/>
        <v>55</v>
      </c>
      <c r="W415" s="312">
        <v>2019</v>
      </c>
      <c r="X415" s="40">
        <f t="shared" si="130"/>
        <v>0</v>
      </c>
      <c r="Y415" s="40">
        <f t="shared" si="131"/>
        <v>0</v>
      </c>
      <c r="Z415" s="40">
        <f t="shared" si="132"/>
        <v>0</v>
      </c>
    </row>
    <row r="416" spans="1:26" ht="51">
      <c r="A416" s="36" t="s">
        <v>272</v>
      </c>
      <c r="B416" s="12">
        <v>1</v>
      </c>
      <c r="C416" s="12">
        <v>3</v>
      </c>
      <c r="D416" s="12">
        <v>5</v>
      </c>
      <c r="E416" s="12">
        <v>0</v>
      </c>
      <c r="F416" s="12">
        <v>2</v>
      </c>
      <c r="G416" s="14"/>
      <c r="H416" s="63" t="s">
        <v>3</v>
      </c>
      <c r="I416" s="14" t="s">
        <v>301</v>
      </c>
      <c r="J416" s="8">
        <v>0</v>
      </c>
      <c r="K416" s="119">
        <v>0</v>
      </c>
      <c r="L416" s="125">
        <v>1027</v>
      </c>
      <c r="M416" s="119">
        <v>1955</v>
      </c>
      <c r="N416" s="223">
        <v>460</v>
      </c>
      <c r="O416" s="223">
        <v>460</v>
      </c>
      <c r="P416" s="223">
        <v>214</v>
      </c>
      <c r="Q416" s="223">
        <v>214</v>
      </c>
      <c r="R416" s="223">
        <v>392</v>
      </c>
      <c r="S416" s="223">
        <v>392</v>
      </c>
      <c r="T416" s="260">
        <v>1027</v>
      </c>
      <c r="U416" s="260">
        <v>1955</v>
      </c>
      <c r="V416" s="260">
        <f t="shared" si="138"/>
        <v>7030</v>
      </c>
      <c r="W416" s="312">
        <v>2024</v>
      </c>
      <c r="X416" s="40">
        <f t="shared" si="130"/>
        <v>0</v>
      </c>
      <c r="Y416" s="40">
        <f t="shared" si="131"/>
        <v>0</v>
      </c>
      <c r="Z416" s="40">
        <f t="shared" si="132"/>
        <v>0</v>
      </c>
    </row>
    <row r="417" spans="1:26" ht="38.25">
      <c r="A417" s="38" t="s">
        <v>272</v>
      </c>
      <c r="B417" s="2">
        <v>1</v>
      </c>
      <c r="C417" s="2">
        <v>4</v>
      </c>
      <c r="D417" s="2">
        <v>0</v>
      </c>
      <c r="E417" s="2">
        <v>0</v>
      </c>
      <c r="F417" s="2">
        <v>0</v>
      </c>
      <c r="G417" s="2"/>
      <c r="H417" s="39" t="s">
        <v>150</v>
      </c>
      <c r="I417" s="2" t="s">
        <v>273</v>
      </c>
      <c r="J417" s="4">
        <f aca="true" t="shared" si="139" ref="J417:U417">J418+J419+J420</f>
        <v>6563.9</v>
      </c>
      <c r="K417" s="4">
        <f>K418+K419+K420</f>
        <v>3385.8</v>
      </c>
      <c r="L417" s="4">
        <f>L418+L419+L420</f>
        <v>500</v>
      </c>
      <c r="M417" s="4">
        <f>M418+M419+M420</f>
        <v>1928</v>
      </c>
      <c r="N417" s="206">
        <f>N418+N419+N420</f>
        <v>310</v>
      </c>
      <c r="O417" s="206">
        <f t="shared" si="139"/>
        <v>310</v>
      </c>
      <c r="P417" s="206">
        <f>P418+P419+P420</f>
        <v>6894</v>
      </c>
      <c r="Q417" s="206">
        <f t="shared" si="139"/>
        <v>6894</v>
      </c>
      <c r="R417" s="206">
        <f>R418+R419+R420</f>
        <v>329.9</v>
      </c>
      <c r="S417" s="206">
        <f t="shared" si="139"/>
        <v>330</v>
      </c>
      <c r="T417" s="206">
        <f t="shared" si="139"/>
        <v>330</v>
      </c>
      <c r="U417" s="206">
        <f t="shared" si="139"/>
        <v>330</v>
      </c>
      <c r="V417" s="228">
        <f t="shared" si="138"/>
        <v>20571.7</v>
      </c>
      <c r="W417" s="304">
        <v>2024</v>
      </c>
      <c r="X417" s="40">
        <f t="shared" si="130"/>
        <v>0</v>
      </c>
      <c r="Y417" s="40">
        <f t="shared" si="131"/>
        <v>0</v>
      </c>
      <c r="Z417" s="40">
        <f t="shared" si="132"/>
        <v>0.1</v>
      </c>
    </row>
    <row r="418" spans="1:26" ht="12.75">
      <c r="A418" s="36" t="s">
        <v>272</v>
      </c>
      <c r="B418" s="12">
        <v>1</v>
      </c>
      <c r="C418" s="12">
        <v>4</v>
      </c>
      <c r="D418" s="12">
        <v>0</v>
      </c>
      <c r="E418" s="12">
        <v>0</v>
      </c>
      <c r="F418" s="12">
        <v>0</v>
      </c>
      <c r="G418" s="12">
        <v>3</v>
      </c>
      <c r="H418" s="42" t="s">
        <v>274</v>
      </c>
      <c r="I418" s="12" t="s">
        <v>273</v>
      </c>
      <c r="J418" s="81">
        <f aca="true" t="shared" si="140" ref="J418:U418">J422+J436</f>
        <v>603.9</v>
      </c>
      <c r="K418" s="81">
        <f>K422+K436</f>
        <v>657.8</v>
      </c>
      <c r="L418" s="81">
        <f>L422+L436</f>
        <v>500</v>
      </c>
      <c r="M418" s="81">
        <f>M422+M436</f>
        <v>300</v>
      </c>
      <c r="N418" s="226">
        <f>N422+N436</f>
        <v>310</v>
      </c>
      <c r="O418" s="226">
        <f t="shared" si="140"/>
        <v>310</v>
      </c>
      <c r="P418" s="226">
        <f>P422+P436</f>
        <v>6894</v>
      </c>
      <c r="Q418" s="226">
        <f t="shared" si="140"/>
        <v>6894</v>
      </c>
      <c r="R418" s="226">
        <f>R422+R436</f>
        <v>329.9</v>
      </c>
      <c r="S418" s="226">
        <f t="shared" si="140"/>
        <v>330</v>
      </c>
      <c r="T418" s="226">
        <f t="shared" si="140"/>
        <v>330</v>
      </c>
      <c r="U418" s="226">
        <f t="shared" si="140"/>
        <v>330</v>
      </c>
      <c r="V418" s="217">
        <f t="shared" si="138"/>
        <v>10255.7</v>
      </c>
      <c r="W418" s="311">
        <v>2024</v>
      </c>
      <c r="X418" s="40">
        <f t="shared" si="130"/>
        <v>0</v>
      </c>
      <c r="Y418" s="40">
        <f t="shared" si="131"/>
        <v>0</v>
      </c>
      <c r="Z418" s="40">
        <f t="shared" si="132"/>
        <v>0.1</v>
      </c>
    </row>
    <row r="419" spans="1:26" ht="12.75">
      <c r="A419" s="36" t="s">
        <v>272</v>
      </c>
      <c r="B419" s="12">
        <v>1</v>
      </c>
      <c r="C419" s="12">
        <v>4</v>
      </c>
      <c r="D419" s="12">
        <v>0</v>
      </c>
      <c r="E419" s="12">
        <v>0</v>
      </c>
      <c r="F419" s="12">
        <v>0</v>
      </c>
      <c r="G419" s="12">
        <v>2</v>
      </c>
      <c r="H419" s="42" t="s">
        <v>275</v>
      </c>
      <c r="I419" s="14" t="s">
        <v>273</v>
      </c>
      <c r="J419" s="5">
        <f aca="true" t="shared" si="141" ref="J419:M420">J423</f>
        <v>2130.8</v>
      </c>
      <c r="K419" s="5">
        <f t="shared" si="141"/>
        <v>409.2</v>
      </c>
      <c r="L419" s="5">
        <f t="shared" si="141"/>
        <v>0</v>
      </c>
      <c r="M419" s="5">
        <f t="shared" si="141"/>
        <v>162.8</v>
      </c>
      <c r="N419" s="214">
        <v>0</v>
      </c>
      <c r="O419" s="214">
        <v>0</v>
      </c>
      <c r="P419" s="214">
        <v>0</v>
      </c>
      <c r="Q419" s="214">
        <v>0</v>
      </c>
      <c r="R419" s="214">
        <f>R423</f>
        <v>0</v>
      </c>
      <c r="S419" s="214">
        <f aca="true" t="shared" si="142" ref="S419:U420">S423</f>
        <v>0</v>
      </c>
      <c r="T419" s="214">
        <f t="shared" si="142"/>
        <v>0</v>
      </c>
      <c r="U419" s="214">
        <f t="shared" si="142"/>
        <v>0</v>
      </c>
      <c r="V419" s="217">
        <f t="shared" si="138"/>
        <v>2702.8</v>
      </c>
      <c r="W419" s="311">
        <v>2017</v>
      </c>
      <c r="X419" s="40">
        <f t="shared" si="130"/>
        <v>0</v>
      </c>
      <c r="Y419" s="40">
        <f t="shared" si="131"/>
        <v>0</v>
      </c>
      <c r="Z419" s="40">
        <f t="shared" si="132"/>
        <v>0</v>
      </c>
    </row>
    <row r="420" spans="1:26" ht="12.75">
      <c r="A420" s="36" t="s">
        <v>272</v>
      </c>
      <c r="B420" s="12">
        <v>1</v>
      </c>
      <c r="C420" s="12">
        <v>4</v>
      </c>
      <c r="D420" s="12">
        <v>0</v>
      </c>
      <c r="E420" s="12">
        <v>0</v>
      </c>
      <c r="F420" s="12">
        <v>0</v>
      </c>
      <c r="G420" s="12">
        <v>1</v>
      </c>
      <c r="H420" s="42" t="s">
        <v>276</v>
      </c>
      <c r="I420" s="14" t="s">
        <v>273</v>
      </c>
      <c r="J420" s="5">
        <f t="shared" si="141"/>
        <v>3829.2</v>
      </c>
      <c r="K420" s="5">
        <f t="shared" si="141"/>
        <v>2318.8</v>
      </c>
      <c r="L420" s="5">
        <f t="shared" si="141"/>
        <v>0</v>
      </c>
      <c r="M420" s="5">
        <f t="shared" si="141"/>
        <v>1465.2</v>
      </c>
      <c r="N420" s="214">
        <v>0</v>
      </c>
      <c r="O420" s="214">
        <v>0</v>
      </c>
      <c r="P420" s="214">
        <v>0</v>
      </c>
      <c r="Q420" s="214">
        <v>0</v>
      </c>
      <c r="R420" s="214">
        <f>R424</f>
        <v>0</v>
      </c>
      <c r="S420" s="214">
        <f t="shared" si="142"/>
        <v>0</v>
      </c>
      <c r="T420" s="214">
        <f t="shared" si="142"/>
        <v>0</v>
      </c>
      <c r="U420" s="214">
        <f t="shared" si="142"/>
        <v>0</v>
      </c>
      <c r="V420" s="217">
        <f t="shared" si="138"/>
        <v>7613.2</v>
      </c>
      <c r="W420" s="311">
        <v>2017</v>
      </c>
      <c r="X420" s="40">
        <f t="shared" si="130"/>
        <v>0</v>
      </c>
      <c r="Y420" s="40">
        <f t="shared" si="131"/>
        <v>0</v>
      </c>
      <c r="Z420" s="40">
        <f t="shared" si="132"/>
        <v>0</v>
      </c>
    </row>
    <row r="421" spans="1:27" s="50" customFormat="1" ht="63.75">
      <c r="A421" s="65" t="s">
        <v>272</v>
      </c>
      <c r="B421" s="11">
        <v>1</v>
      </c>
      <c r="C421" s="11">
        <v>4</v>
      </c>
      <c r="D421" s="11">
        <v>1</v>
      </c>
      <c r="E421" s="11">
        <v>0</v>
      </c>
      <c r="F421" s="11">
        <v>0</v>
      </c>
      <c r="G421" s="11"/>
      <c r="H421" s="49" t="s">
        <v>8</v>
      </c>
      <c r="I421" s="11" t="s">
        <v>273</v>
      </c>
      <c r="J421" s="10">
        <f aca="true" t="shared" si="143" ref="J421:U421">J422+J423+J424</f>
        <v>6563.9</v>
      </c>
      <c r="K421" s="10">
        <f>K422+K423+K424</f>
        <v>3365.8</v>
      </c>
      <c r="L421" s="10">
        <f>L422+L423+L424</f>
        <v>476</v>
      </c>
      <c r="M421" s="10">
        <f>M422+M423+M424</f>
        <v>1908</v>
      </c>
      <c r="N421" s="218">
        <f>N422+N423+N424</f>
        <v>290</v>
      </c>
      <c r="O421" s="218">
        <f t="shared" si="143"/>
        <v>290</v>
      </c>
      <c r="P421" s="218">
        <f>P422+P423+P424</f>
        <v>6864</v>
      </c>
      <c r="Q421" s="218">
        <f t="shared" si="143"/>
        <v>6864</v>
      </c>
      <c r="R421" s="218">
        <f>R422+R423+R424</f>
        <v>299.9</v>
      </c>
      <c r="S421" s="218">
        <f t="shared" si="143"/>
        <v>300</v>
      </c>
      <c r="T421" s="218">
        <f t="shared" si="143"/>
        <v>300</v>
      </c>
      <c r="U421" s="218">
        <f t="shared" si="143"/>
        <v>300</v>
      </c>
      <c r="V421" s="218">
        <f t="shared" si="138"/>
        <v>20367.7</v>
      </c>
      <c r="W421" s="306">
        <v>2024</v>
      </c>
      <c r="X421" s="40">
        <f t="shared" si="130"/>
        <v>0</v>
      </c>
      <c r="Y421" s="40">
        <f>Q421-P421</f>
        <v>0</v>
      </c>
      <c r="Z421" s="40">
        <f t="shared" si="132"/>
        <v>0.1</v>
      </c>
      <c r="AA421" s="37"/>
    </row>
    <row r="422" spans="1:27" s="50" customFormat="1" ht="12.75">
      <c r="A422" s="36" t="s">
        <v>272</v>
      </c>
      <c r="B422" s="12">
        <v>1</v>
      </c>
      <c r="C422" s="12">
        <v>4</v>
      </c>
      <c r="D422" s="12">
        <v>1</v>
      </c>
      <c r="E422" s="12">
        <v>0</v>
      </c>
      <c r="F422" s="12">
        <v>0</v>
      </c>
      <c r="G422" s="12">
        <v>3</v>
      </c>
      <c r="H422" s="42" t="s">
        <v>274</v>
      </c>
      <c r="I422" s="12" t="s">
        <v>273</v>
      </c>
      <c r="J422" s="5">
        <f>J430</f>
        <v>603.9</v>
      </c>
      <c r="K422" s="5">
        <f>K430</f>
        <v>637.8</v>
      </c>
      <c r="L422" s="5">
        <f>L430</f>
        <v>476</v>
      </c>
      <c r="M422" s="5">
        <f>M430</f>
        <v>280</v>
      </c>
      <c r="N422" s="214">
        <f>N430</f>
        <v>290</v>
      </c>
      <c r="O422" s="214">
        <f aca="true" t="shared" si="144" ref="O422:U422">O430</f>
        <v>290</v>
      </c>
      <c r="P422" s="214">
        <f>P430</f>
        <v>6864</v>
      </c>
      <c r="Q422" s="214">
        <f t="shared" si="144"/>
        <v>6864</v>
      </c>
      <c r="R422" s="214">
        <f>R430</f>
        <v>299.9</v>
      </c>
      <c r="S422" s="214">
        <f t="shared" si="144"/>
        <v>300</v>
      </c>
      <c r="T422" s="214">
        <f t="shared" si="144"/>
        <v>300</v>
      </c>
      <c r="U422" s="214">
        <f t="shared" si="144"/>
        <v>300</v>
      </c>
      <c r="V422" s="217">
        <f t="shared" si="138"/>
        <v>10051.7</v>
      </c>
      <c r="W422" s="322">
        <v>2024</v>
      </c>
      <c r="X422" s="40">
        <f t="shared" si="130"/>
        <v>0</v>
      </c>
      <c r="Y422" s="40">
        <f t="shared" si="131"/>
        <v>0</v>
      </c>
      <c r="Z422" s="40">
        <f t="shared" si="132"/>
        <v>0.1</v>
      </c>
      <c r="AA422" s="37"/>
    </row>
    <row r="423" spans="1:27" s="50" customFormat="1" ht="12.75">
      <c r="A423" s="36" t="s">
        <v>272</v>
      </c>
      <c r="B423" s="12">
        <v>1</v>
      </c>
      <c r="C423" s="12">
        <v>4</v>
      </c>
      <c r="D423" s="12">
        <v>1</v>
      </c>
      <c r="E423" s="12">
        <v>0</v>
      </c>
      <c r="F423" s="12">
        <v>0</v>
      </c>
      <c r="G423" s="12">
        <v>2</v>
      </c>
      <c r="H423" s="42" t="s">
        <v>275</v>
      </c>
      <c r="I423" s="12" t="s">
        <v>273</v>
      </c>
      <c r="J423" s="5">
        <f>J431</f>
        <v>2130.8</v>
      </c>
      <c r="K423" s="5">
        <f aca="true" t="shared" si="145" ref="K423:M424">K431</f>
        <v>409.2</v>
      </c>
      <c r="L423" s="5">
        <f t="shared" si="145"/>
        <v>0</v>
      </c>
      <c r="M423" s="5">
        <f t="shared" si="145"/>
        <v>162.8</v>
      </c>
      <c r="N423" s="214">
        <v>0</v>
      </c>
      <c r="O423" s="214">
        <v>0</v>
      </c>
      <c r="P423" s="214">
        <v>0</v>
      </c>
      <c r="Q423" s="214">
        <v>0</v>
      </c>
      <c r="R423" s="214">
        <f>R431</f>
        <v>0</v>
      </c>
      <c r="S423" s="214">
        <f aca="true" t="shared" si="146" ref="S423:U424">S431</f>
        <v>0</v>
      </c>
      <c r="T423" s="214">
        <f t="shared" si="146"/>
        <v>0</v>
      </c>
      <c r="U423" s="214">
        <f t="shared" si="146"/>
        <v>0</v>
      </c>
      <c r="V423" s="217">
        <f t="shared" si="138"/>
        <v>2702.8</v>
      </c>
      <c r="W423" s="311">
        <v>2017</v>
      </c>
      <c r="X423" s="40">
        <f t="shared" si="130"/>
        <v>0</v>
      </c>
      <c r="Y423" s="40">
        <f t="shared" si="131"/>
        <v>0</v>
      </c>
      <c r="Z423" s="40">
        <f t="shared" si="132"/>
        <v>0</v>
      </c>
      <c r="AA423" s="37"/>
    </row>
    <row r="424" spans="1:27" s="50" customFormat="1" ht="12.75">
      <c r="A424" s="36" t="s">
        <v>272</v>
      </c>
      <c r="B424" s="12">
        <v>1</v>
      </c>
      <c r="C424" s="12">
        <v>4</v>
      </c>
      <c r="D424" s="12">
        <v>1</v>
      </c>
      <c r="E424" s="12">
        <v>0</v>
      </c>
      <c r="F424" s="12">
        <v>0</v>
      </c>
      <c r="G424" s="12">
        <v>1</v>
      </c>
      <c r="H424" s="42" t="s">
        <v>276</v>
      </c>
      <c r="I424" s="12" t="s">
        <v>273</v>
      </c>
      <c r="J424" s="5">
        <f>J432</f>
        <v>3829.2</v>
      </c>
      <c r="K424" s="5">
        <f t="shared" si="145"/>
        <v>2318.8</v>
      </c>
      <c r="L424" s="5">
        <f t="shared" si="145"/>
        <v>0</v>
      </c>
      <c r="M424" s="5">
        <f t="shared" si="145"/>
        <v>1465.2</v>
      </c>
      <c r="N424" s="214">
        <v>0</v>
      </c>
      <c r="O424" s="214">
        <v>0</v>
      </c>
      <c r="P424" s="214">
        <v>0</v>
      </c>
      <c r="Q424" s="214">
        <v>0</v>
      </c>
      <c r="R424" s="214">
        <f>R432</f>
        <v>0</v>
      </c>
      <c r="S424" s="214">
        <f t="shared" si="146"/>
        <v>0</v>
      </c>
      <c r="T424" s="214">
        <f t="shared" si="146"/>
        <v>0</v>
      </c>
      <c r="U424" s="214">
        <f t="shared" si="146"/>
        <v>0</v>
      </c>
      <c r="V424" s="217">
        <f t="shared" si="138"/>
        <v>7613.2</v>
      </c>
      <c r="W424" s="311">
        <v>2017</v>
      </c>
      <c r="X424" s="40">
        <f t="shared" si="130"/>
        <v>0</v>
      </c>
      <c r="Y424" s="40">
        <f t="shared" si="131"/>
        <v>0</v>
      </c>
      <c r="Z424" s="40">
        <f t="shared" si="132"/>
        <v>0</v>
      </c>
      <c r="AA424" s="37"/>
    </row>
    <row r="425" spans="1:26" ht="63.75">
      <c r="A425" s="36" t="s">
        <v>272</v>
      </c>
      <c r="B425" s="12">
        <v>1</v>
      </c>
      <c r="C425" s="12">
        <v>4</v>
      </c>
      <c r="D425" s="12">
        <v>1</v>
      </c>
      <c r="E425" s="12">
        <v>0</v>
      </c>
      <c r="F425" s="12">
        <v>0</v>
      </c>
      <c r="G425" s="14"/>
      <c r="H425" s="63" t="s">
        <v>10</v>
      </c>
      <c r="I425" s="14" t="s">
        <v>278</v>
      </c>
      <c r="J425" s="9">
        <v>97</v>
      </c>
      <c r="K425" s="9">
        <v>97.2</v>
      </c>
      <c r="L425" s="25">
        <v>100</v>
      </c>
      <c r="M425" s="142">
        <v>100</v>
      </c>
      <c r="N425" s="221">
        <v>100</v>
      </c>
      <c r="O425" s="221">
        <v>100</v>
      </c>
      <c r="P425" s="221">
        <v>100</v>
      </c>
      <c r="Q425" s="221">
        <v>100</v>
      </c>
      <c r="R425" s="222">
        <v>100</v>
      </c>
      <c r="S425" s="222">
        <v>100</v>
      </c>
      <c r="T425" s="222">
        <v>100</v>
      </c>
      <c r="U425" s="222">
        <v>100</v>
      </c>
      <c r="V425" s="222">
        <v>100</v>
      </c>
      <c r="W425" s="312">
        <v>2024</v>
      </c>
      <c r="X425" s="40">
        <f t="shared" si="130"/>
        <v>0</v>
      </c>
      <c r="Y425" s="40">
        <f t="shared" si="131"/>
        <v>0</v>
      </c>
      <c r="Z425" s="40">
        <f t="shared" si="132"/>
        <v>0</v>
      </c>
    </row>
    <row r="426" spans="1:26" ht="63.75">
      <c r="A426" s="36" t="s">
        <v>272</v>
      </c>
      <c r="B426" s="12">
        <v>1</v>
      </c>
      <c r="C426" s="12">
        <v>4</v>
      </c>
      <c r="D426" s="12">
        <v>1</v>
      </c>
      <c r="E426" s="12">
        <v>0</v>
      </c>
      <c r="F426" s="12">
        <v>0</v>
      </c>
      <c r="G426" s="14"/>
      <c r="H426" s="63" t="s">
        <v>11</v>
      </c>
      <c r="I426" s="14" t="s">
        <v>278</v>
      </c>
      <c r="J426" s="9">
        <v>3.8</v>
      </c>
      <c r="K426" s="9">
        <v>3.8</v>
      </c>
      <c r="L426" s="25">
        <v>3.7</v>
      </c>
      <c r="M426" s="142">
        <v>3.7</v>
      </c>
      <c r="N426" s="221">
        <v>3.7</v>
      </c>
      <c r="O426" s="221">
        <v>3.6</v>
      </c>
      <c r="P426" s="221">
        <v>3.6</v>
      </c>
      <c r="Q426" s="221">
        <v>3.5</v>
      </c>
      <c r="R426" s="222">
        <v>3.5</v>
      </c>
      <c r="S426" s="222">
        <v>3.5</v>
      </c>
      <c r="T426" s="222">
        <v>3.5</v>
      </c>
      <c r="U426" s="222">
        <v>3.5</v>
      </c>
      <c r="V426" s="222">
        <v>3.5</v>
      </c>
      <c r="W426" s="312">
        <v>2024</v>
      </c>
      <c r="X426" s="40">
        <f t="shared" si="130"/>
        <v>-0.1</v>
      </c>
      <c r="Y426" s="40">
        <f t="shared" si="131"/>
        <v>-0.1</v>
      </c>
      <c r="Z426" s="40">
        <f t="shared" si="132"/>
        <v>0</v>
      </c>
    </row>
    <row r="427" spans="1:26" ht="51">
      <c r="A427" s="51" t="s">
        <v>272</v>
      </c>
      <c r="B427" s="17">
        <v>1</v>
      </c>
      <c r="C427" s="17">
        <v>4</v>
      </c>
      <c r="D427" s="17">
        <v>1</v>
      </c>
      <c r="E427" s="17">
        <v>0</v>
      </c>
      <c r="F427" s="17">
        <v>1</v>
      </c>
      <c r="G427" s="20"/>
      <c r="H427" s="52" t="s">
        <v>25</v>
      </c>
      <c r="I427" s="20" t="s">
        <v>297</v>
      </c>
      <c r="J427" s="23" t="s">
        <v>298</v>
      </c>
      <c r="K427" s="23" t="s">
        <v>298</v>
      </c>
      <c r="L427" s="7" t="s">
        <v>298</v>
      </c>
      <c r="M427" s="145" t="s">
        <v>298</v>
      </c>
      <c r="N427" s="216" t="s">
        <v>298</v>
      </c>
      <c r="O427" s="216" t="s">
        <v>298</v>
      </c>
      <c r="P427" s="216" t="s">
        <v>298</v>
      </c>
      <c r="Q427" s="216" t="s">
        <v>298</v>
      </c>
      <c r="R427" s="219" t="s">
        <v>298</v>
      </c>
      <c r="S427" s="219" t="s">
        <v>298</v>
      </c>
      <c r="T427" s="219" t="s">
        <v>298</v>
      </c>
      <c r="U427" s="219" t="s">
        <v>298</v>
      </c>
      <c r="V427" s="230" t="s">
        <v>298</v>
      </c>
      <c r="W427" s="307">
        <v>2024</v>
      </c>
      <c r="X427" s="40"/>
      <c r="Y427" s="40"/>
      <c r="Z427" s="40"/>
    </row>
    <row r="428" spans="1:26" ht="38.25">
      <c r="A428" s="36" t="s">
        <v>272</v>
      </c>
      <c r="B428" s="12">
        <v>1</v>
      </c>
      <c r="C428" s="12">
        <v>4</v>
      </c>
      <c r="D428" s="12">
        <v>1</v>
      </c>
      <c r="E428" s="12">
        <v>0</v>
      </c>
      <c r="F428" s="12">
        <v>1</v>
      </c>
      <c r="G428" s="14"/>
      <c r="H428" s="63" t="s">
        <v>198</v>
      </c>
      <c r="I428" s="14" t="s">
        <v>312</v>
      </c>
      <c r="J428" s="8">
        <v>1</v>
      </c>
      <c r="K428" s="8">
        <v>1</v>
      </c>
      <c r="L428" s="8">
        <v>1</v>
      </c>
      <c r="M428" s="163">
        <v>1</v>
      </c>
      <c r="N428" s="215">
        <v>1</v>
      </c>
      <c r="O428" s="215">
        <v>1</v>
      </c>
      <c r="P428" s="215">
        <v>1</v>
      </c>
      <c r="Q428" s="215">
        <v>1</v>
      </c>
      <c r="R428" s="215">
        <v>1</v>
      </c>
      <c r="S428" s="215">
        <v>1</v>
      </c>
      <c r="T428" s="215">
        <v>1</v>
      </c>
      <c r="U428" s="215">
        <v>1</v>
      </c>
      <c r="V428" s="223">
        <f>J428+K428+L428+M428+O428+Q428+S428+T428+U428</f>
        <v>9</v>
      </c>
      <c r="W428" s="312">
        <v>2024</v>
      </c>
      <c r="X428" s="40">
        <f t="shared" si="130"/>
        <v>0</v>
      </c>
      <c r="Y428" s="40">
        <f t="shared" si="131"/>
        <v>0</v>
      </c>
      <c r="Z428" s="40">
        <f t="shared" si="132"/>
        <v>0</v>
      </c>
    </row>
    <row r="429" spans="1:27" s="50" customFormat="1" ht="51">
      <c r="A429" s="51" t="s">
        <v>272</v>
      </c>
      <c r="B429" s="17">
        <v>1</v>
      </c>
      <c r="C429" s="17">
        <v>4</v>
      </c>
      <c r="D429" s="17">
        <v>1</v>
      </c>
      <c r="E429" s="17">
        <v>0</v>
      </c>
      <c r="F429" s="17">
        <v>2</v>
      </c>
      <c r="G429" s="17"/>
      <c r="H429" s="53" t="s">
        <v>121</v>
      </c>
      <c r="I429" s="17" t="s">
        <v>273</v>
      </c>
      <c r="J429" s="7">
        <f>J430+J431+J432</f>
        <v>6563.9</v>
      </c>
      <c r="K429" s="7">
        <f>K430+K431+K432</f>
        <v>3365.8</v>
      </c>
      <c r="L429" s="7">
        <f>L430</f>
        <v>476</v>
      </c>
      <c r="M429" s="148">
        <f>M430+M432+M431</f>
        <v>1908</v>
      </c>
      <c r="N429" s="216">
        <f>N430+N431+N432</f>
        <v>290</v>
      </c>
      <c r="O429" s="216">
        <f aca="true" t="shared" si="147" ref="O429:U429">O430+O431+O432</f>
        <v>290</v>
      </c>
      <c r="P429" s="216">
        <f>P430+P431+P432</f>
        <v>6864</v>
      </c>
      <c r="Q429" s="216">
        <f t="shared" si="147"/>
        <v>6864</v>
      </c>
      <c r="R429" s="213">
        <f>R430+R431+R432</f>
        <v>299.9</v>
      </c>
      <c r="S429" s="213">
        <f t="shared" si="147"/>
        <v>300</v>
      </c>
      <c r="T429" s="213">
        <f t="shared" si="147"/>
        <v>300</v>
      </c>
      <c r="U429" s="213">
        <f t="shared" si="147"/>
        <v>300</v>
      </c>
      <c r="V429" s="216">
        <f>J429+K429+L429+M429+O429+Q429+S429+T429+U429</f>
        <v>20367.7</v>
      </c>
      <c r="W429" s="308">
        <v>2024</v>
      </c>
      <c r="X429" s="40">
        <f t="shared" si="130"/>
        <v>0</v>
      </c>
      <c r="Y429" s="40">
        <f t="shared" si="131"/>
        <v>0</v>
      </c>
      <c r="Z429" s="40">
        <f t="shared" si="132"/>
        <v>0.1</v>
      </c>
      <c r="AA429" s="37"/>
    </row>
    <row r="430" spans="1:27" s="50" customFormat="1" ht="12.75">
      <c r="A430" s="36" t="s">
        <v>272</v>
      </c>
      <c r="B430" s="12">
        <v>1</v>
      </c>
      <c r="C430" s="12">
        <v>4</v>
      </c>
      <c r="D430" s="12">
        <v>1</v>
      </c>
      <c r="E430" s="12">
        <v>0</v>
      </c>
      <c r="F430" s="12">
        <v>2</v>
      </c>
      <c r="G430" s="12">
        <v>3</v>
      </c>
      <c r="H430" s="42" t="s">
        <v>274</v>
      </c>
      <c r="I430" s="12" t="s">
        <v>273</v>
      </c>
      <c r="J430" s="18">
        <f>243.9+360</f>
        <v>603.9</v>
      </c>
      <c r="K430" s="18">
        <f>387.8+250</f>
        <v>637.8</v>
      </c>
      <c r="L430" s="18">
        <v>476</v>
      </c>
      <c r="M430" s="164">
        <v>280</v>
      </c>
      <c r="N430" s="227">
        <v>290</v>
      </c>
      <c r="O430" s="227">
        <v>290</v>
      </c>
      <c r="P430" s="227">
        <v>6864</v>
      </c>
      <c r="Q430" s="227">
        <v>6864</v>
      </c>
      <c r="R430" s="227">
        <v>299.9</v>
      </c>
      <c r="S430" s="227">
        <v>300</v>
      </c>
      <c r="T430" s="227">
        <v>300</v>
      </c>
      <c r="U430" s="227">
        <v>300</v>
      </c>
      <c r="V430" s="217">
        <f>J430+K430+L430+M430+O430+Q430+S430+T430+U430</f>
        <v>10051.7</v>
      </c>
      <c r="W430" s="311">
        <v>2024</v>
      </c>
      <c r="X430" s="40">
        <f t="shared" si="130"/>
        <v>0</v>
      </c>
      <c r="Y430" s="40">
        <f t="shared" si="131"/>
        <v>0</v>
      </c>
      <c r="Z430" s="40">
        <f t="shared" si="132"/>
        <v>0.1</v>
      </c>
      <c r="AA430" s="37"/>
    </row>
    <row r="431" spans="1:27" s="50" customFormat="1" ht="12.75">
      <c r="A431" s="36" t="s">
        <v>272</v>
      </c>
      <c r="B431" s="12">
        <v>1</v>
      </c>
      <c r="C431" s="12">
        <v>4</v>
      </c>
      <c r="D431" s="12">
        <v>1</v>
      </c>
      <c r="E431" s="12">
        <v>0</v>
      </c>
      <c r="F431" s="12">
        <v>2</v>
      </c>
      <c r="G431" s="12">
        <v>2</v>
      </c>
      <c r="H431" s="42" t="s">
        <v>275</v>
      </c>
      <c r="I431" s="12" t="s">
        <v>273</v>
      </c>
      <c r="J431" s="5">
        <f>932.6+798.2+400</f>
        <v>2130.8</v>
      </c>
      <c r="K431" s="5">
        <v>409.2</v>
      </c>
      <c r="L431" s="5">
        <v>0</v>
      </c>
      <c r="M431" s="160">
        <v>162.8</v>
      </c>
      <c r="N431" s="214">
        <v>0</v>
      </c>
      <c r="O431" s="214">
        <v>0</v>
      </c>
      <c r="P431" s="214">
        <v>0</v>
      </c>
      <c r="Q431" s="214">
        <v>0</v>
      </c>
      <c r="R431" s="214">
        <v>0</v>
      </c>
      <c r="S431" s="214">
        <v>0</v>
      </c>
      <c r="T431" s="214">
        <v>0</v>
      </c>
      <c r="U431" s="214">
        <v>0</v>
      </c>
      <c r="V431" s="217">
        <f>J431+K431+L431+M431+O431+Q431+S431+T431+U431</f>
        <v>2702.8</v>
      </c>
      <c r="W431" s="311">
        <v>2017</v>
      </c>
      <c r="X431" s="40">
        <f t="shared" si="130"/>
        <v>0</v>
      </c>
      <c r="Y431" s="40">
        <f t="shared" si="131"/>
        <v>0</v>
      </c>
      <c r="Z431" s="40">
        <f t="shared" si="132"/>
        <v>0</v>
      </c>
      <c r="AA431" s="37"/>
    </row>
    <row r="432" spans="1:27" s="50" customFormat="1" ht="12.75">
      <c r="A432" s="36" t="s">
        <v>272</v>
      </c>
      <c r="B432" s="12">
        <v>1</v>
      </c>
      <c r="C432" s="12">
        <v>4</v>
      </c>
      <c r="D432" s="12">
        <v>1</v>
      </c>
      <c r="E432" s="12">
        <v>0</v>
      </c>
      <c r="F432" s="12">
        <v>2</v>
      </c>
      <c r="G432" s="12">
        <v>1</v>
      </c>
      <c r="H432" s="42" t="s">
        <v>276</v>
      </c>
      <c r="I432" s="12" t="s">
        <v>273</v>
      </c>
      <c r="J432" s="5">
        <f>2069.2+1260+500</f>
        <v>3829.2</v>
      </c>
      <c r="K432" s="5">
        <v>2318.8</v>
      </c>
      <c r="L432" s="5">
        <v>0</v>
      </c>
      <c r="M432" s="160">
        <v>1465.2</v>
      </c>
      <c r="N432" s="214">
        <v>0</v>
      </c>
      <c r="O432" s="214">
        <v>0</v>
      </c>
      <c r="P432" s="214">
        <v>0</v>
      </c>
      <c r="Q432" s="214">
        <v>0</v>
      </c>
      <c r="R432" s="214">
        <v>0</v>
      </c>
      <c r="S432" s="214">
        <v>0</v>
      </c>
      <c r="T432" s="214">
        <v>0</v>
      </c>
      <c r="U432" s="214">
        <v>0</v>
      </c>
      <c r="V432" s="217">
        <f>J432+K432+L432+M432+O432+Q432+S432+T432+U432</f>
        <v>7613.2</v>
      </c>
      <c r="W432" s="311">
        <v>2017</v>
      </c>
      <c r="X432" s="40">
        <f t="shared" si="130"/>
        <v>0</v>
      </c>
      <c r="Y432" s="40">
        <f t="shared" si="131"/>
        <v>0</v>
      </c>
      <c r="Z432" s="40">
        <f t="shared" si="132"/>
        <v>0</v>
      </c>
      <c r="AA432" s="37"/>
    </row>
    <row r="433" spans="1:26" ht="76.5">
      <c r="A433" s="36" t="s">
        <v>272</v>
      </c>
      <c r="B433" s="12">
        <v>1</v>
      </c>
      <c r="C433" s="12">
        <v>4</v>
      </c>
      <c r="D433" s="12">
        <v>1</v>
      </c>
      <c r="E433" s="12">
        <v>0</v>
      </c>
      <c r="F433" s="12">
        <v>2</v>
      </c>
      <c r="G433" s="14"/>
      <c r="H433" s="58" t="s">
        <v>191</v>
      </c>
      <c r="I433" s="14" t="s">
        <v>312</v>
      </c>
      <c r="J433" s="8">
        <v>7</v>
      </c>
      <c r="K433" s="8">
        <v>8</v>
      </c>
      <c r="L433" s="8">
        <v>14</v>
      </c>
      <c r="M433" s="163">
        <v>14</v>
      </c>
      <c r="N433" s="215">
        <v>14</v>
      </c>
      <c r="O433" s="215">
        <v>14</v>
      </c>
      <c r="P433" s="215">
        <v>14</v>
      </c>
      <c r="Q433" s="215">
        <v>14</v>
      </c>
      <c r="R433" s="215">
        <v>14</v>
      </c>
      <c r="S433" s="215">
        <v>14</v>
      </c>
      <c r="T433" s="215">
        <v>14</v>
      </c>
      <c r="U433" s="215">
        <v>14</v>
      </c>
      <c r="V433" s="223">
        <v>14</v>
      </c>
      <c r="W433" s="312">
        <v>2024</v>
      </c>
      <c r="X433" s="40">
        <f t="shared" si="130"/>
        <v>0</v>
      </c>
      <c r="Y433" s="40">
        <f t="shared" si="131"/>
        <v>0</v>
      </c>
      <c r="Z433" s="40">
        <f t="shared" si="132"/>
        <v>0</v>
      </c>
    </row>
    <row r="434" spans="1:26" ht="51">
      <c r="A434" s="36" t="s">
        <v>272</v>
      </c>
      <c r="B434" s="12">
        <v>1</v>
      </c>
      <c r="C434" s="12">
        <v>4</v>
      </c>
      <c r="D434" s="12">
        <v>1</v>
      </c>
      <c r="E434" s="12">
        <v>0</v>
      </c>
      <c r="F434" s="12">
        <v>2</v>
      </c>
      <c r="G434" s="14"/>
      <c r="H434" s="58" t="s">
        <v>68</v>
      </c>
      <c r="I434" s="14" t="s">
        <v>312</v>
      </c>
      <c r="J434" s="8">
        <v>2</v>
      </c>
      <c r="K434" s="8">
        <v>1</v>
      </c>
      <c r="L434" s="8">
        <v>2</v>
      </c>
      <c r="M434" s="163">
        <v>2</v>
      </c>
      <c r="N434" s="215">
        <v>2</v>
      </c>
      <c r="O434" s="215">
        <v>2</v>
      </c>
      <c r="P434" s="215">
        <v>2</v>
      </c>
      <c r="Q434" s="215">
        <v>2</v>
      </c>
      <c r="R434" s="215">
        <v>2</v>
      </c>
      <c r="S434" s="215">
        <v>2</v>
      </c>
      <c r="T434" s="215">
        <v>2</v>
      </c>
      <c r="U434" s="215">
        <v>2</v>
      </c>
      <c r="V434" s="223">
        <v>2</v>
      </c>
      <c r="W434" s="312">
        <v>2024</v>
      </c>
      <c r="X434" s="40">
        <f t="shared" si="130"/>
        <v>0</v>
      </c>
      <c r="Y434" s="40">
        <f t="shared" si="131"/>
        <v>0</v>
      </c>
      <c r="Z434" s="40">
        <f t="shared" si="132"/>
        <v>0</v>
      </c>
    </row>
    <row r="435" spans="1:27" s="50" customFormat="1" ht="51">
      <c r="A435" s="65" t="s">
        <v>272</v>
      </c>
      <c r="B435" s="11">
        <v>1</v>
      </c>
      <c r="C435" s="11">
        <v>4</v>
      </c>
      <c r="D435" s="11">
        <v>2</v>
      </c>
      <c r="E435" s="11">
        <v>0</v>
      </c>
      <c r="F435" s="11">
        <v>0</v>
      </c>
      <c r="G435" s="11"/>
      <c r="H435" s="49" t="s">
        <v>12</v>
      </c>
      <c r="I435" s="11" t="s">
        <v>273</v>
      </c>
      <c r="J435" s="10">
        <v>0</v>
      </c>
      <c r="K435" s="10">
        <f aca="true" t="shared" si="148" ref="K435:Q435">K436</f>
        <v>20</v>
      </c>
      <c r="L435" s="10">
        <f t="shared" si="148"/>
        <v>24</v>
      </c>
      <c r="M435" s="161">
        <f t="shared" si="148"/>
        <v>20</v>
      </c>
      <c r="N435" s="218">
        <f>N436</f>
        <v>20</v>
      </c>
      <c r="O435" s="218">
        <f t="shared" si="148"/>
        <v>20</v>
      </c>
      <c r="P435" s="218">
        <f>P436</f>
        <v>30</v>
      </c>
      <c r="Q435" s="218">
        <f t="shared" si="148"/>
        <v>30</v>
      </c>
      <c r="R435" s="218">
        <v>30</v>
      </c>
      <c r="S435" s="218">
        <v>30</v>
      </c>
      <c r="T435" s="218">
        <v>30</v>
      </c>
      <c r="U435" s="218">
        <v>30</v>
      </c>
      <c r="V435" s="218">
        <f>J435+K435+L435+M435+O435+Q435+S435+T435+U435</f>
        <v>204</v>
      </c>
      <c r="W435" s="306">
        <v>2024</v>
      </c>
      <c r="X435" s="40">
        <f t="shared" si="130"/>
        <v>0</v>
      </c>
      <c r="Y435" s="40">
        <f t="shared" si="131"/>
        <v>0</v>
      </c>
      <c r="Z435" s="40">
        <f t="shared" si="132"/>
        <v>0</v>
      </c>
      <c r="AA435" s="37"/>
    </row>
    <row r="436" spans="1:27" s="50" customFormat="1" ht="12.75">
      <c r="A436" s="36" t="s">
        <v>272</v>
      </c>
      <c r="B436" s="12">
        <v>1</v>
      </c>
      <c r="C436" s="12">
        <v>4</v>
      </c>
      <c r="D436" s="12">
        <v>2</v>
      </c>
      <c r="E436" s="12">
        <v>0</v>
      </c>
      <c r="F436" s="12">
        <v>0</v>
      </c>
      <c r="G436" s="12">
        <v>3</v>
      </c>
      <c r="H436" s="42" t="s">
        <v>274</v>
      </c>
      <c r="I436" s="12" t="s">
        <v>273</v>
      </c>
      <c r="J436" s="5">
        <v>0</v>
      </c>
      <c r="K436" s="5">
        <f>K442</f>
        <v>20</v>
      </c>
      <c r="L436" s="5">
        <f>L442</f>
        <v>24</v>
      </c>
      <c r="M436" s="160">
        <f>M442</f>
        <v>20</v>
      </c>
      <c r="N436" s="214">
        <f>N442</f>
        <v>20</v>
      </c>
      <c r="O436" s="214">
        <f>O442</f>
        <v>20</v>
      </c>
      <c r="P436" s="214">
        <v>30</v>
      </c>
      <c r="Q436" s="214">
        <v>30</v>
      </c>
      <c r="R436" s="214">
        <v>30</v>
      </c>
      <c r="S436" s="214">
        <v>30</v>
      </c>
      <c r="T436" s="214">
        <v>30</v>
      </c>
      <c r="U436" s="214">
        <v>30</v>
      </c>
      <c r="V436" s="217">
        <f>J436+K436+L436+M436+O436+Q436+S436+T436+U436</f>
        <v>204</v>
      </c>
      <c r="W436" s="324">
        <v>2024</v>
      </c>
      <c r="X436" s="40">
        <f t="shared" si="130"/>
        <v>0</v>
      </c>
      <c r="Y436" s="40">
        <f t="shared" si="131"/>
        <v>0</v>
      </c>
      <c r="Z436" s="40">
        <f t="shared" si="132"/>
        <v>0</v>
      </c>
      <c r="AA436" s="37"/>
    </row>
    <row r="437" spans="1:26" ht="63.75">
      <c r="A437" s="36" t="s">
        <v>272</v>
      </c>
      <c r="B437" s="12">
        <v>1</v>
      </c>
      <c r="C437" s="12">
        <v>4</v>
      </c>
      <c r="D437" s="12">
        <v>2</v>
      </c>
      <c r="E437" s="12">
        <v>0</v>
      </c>
      <c r="F437" s="12">
        <v>0</v>
      </c>
      <c r="G437" s="14"/>
      <c r="H437" s="63" t="s">
        <v>13</v>
      </c>
      <c r="I437" s="14" t="s">
        <v>278</v>
      </c>
      <c r="J437" s="9">
        <v>60</v>
      </c>
      <c r="K437" s="9">
        <v>58.7</v>
      </c>
      <c r="L437" s="25">
        <v>81.3</v>
      </c>
      <c r="M437" s="140">
        <v>88.8</v>
      </c>
      <c r="N437" s="221">
        <v>88.2</v>
      </c>
      <c r="O437" s="221">
        <v>88.2</v>
      </c>
      <c r="P437" s="221">
        <v>94.1</v>
      </c>
      <c r="Q437" s="221">
        <v>94.1</v>
      </c>
      <c r="R437" s="221">
        <v>100</v>
      </c>
      <c r="S437" s="221">
        <v>100</v>
      </c>
      <c r="T437" s="221">
        <v>94.7</v>
      </c>
      <c r="U437" s="221">
        <v>100</v>
      </c>
      <c r="V437" s="222">
        <v>100</v>
      </c>
      <c r="W437" s="312">
        <v>2024</v>
      </c>
      <c r="X437" s="40">
        <f t="shared" si="130"/>
        <v>0</v>
      </c>
      <c r="Y437" s="40">
        <f t="shared" si="131"/>
        <v>0</v>
      </c>
      <c r="Z437" s="40">
        <f t="shared" si="132"/>
        <v>0</v>
      </c>
    </row>
    <row r="438" spans="1:26" ht="76.5">
      <c r="A438" s="36" t="s">
        <v>272</v>
      </c>
      <c r="B438" s="12">
        <v>1</v>
      </c>
      <c r="C438" s="12">
        <v>4</v>
      </c>
      <c r="D438" s="12">
        <v>2</v>
      </c>
      <c r="E438" s="12">
        <v>0</v>
      </c>
      <c r="F438" s="12">
        <v>0</v>
      </c>
      <c r="G438" s="14"/>
      <c r="H438" s="63" t="s">
        <v>14</v>
      </c>
      <c r="I438" s="14" t="s">
        <v>273</v>
      </c>
      <c r="J438" s="9">
        <v>0</v>
      </c>
      <c r="K438" s="9">
        <v>2.2</v>
      </c>
      <c r="L438" s="25">
        <v>3.4</v>
      </c>
      <c r="M438" s="140">
        <v>2</v>
      </c>
      <c r="N438" s="221">
        <v>5</v>
      </c>
      <c r="O438" s="221">
        <v>5</v>
      </c>
      <c r="P438" s="221">
        <v>6</v>
      </c>
      <c r="Q438" s="221">
        <v>6</v>
      </c>
      <c r="R438" s="221">
        <v>6</v>
      </c>
      <c r="S438" s="221">
        <v>6</v>
      </c>
      <c r="T438" s="221">
        <v>6</v>
      </c>
      <c r="U438" s="221">
        <v>6</v>
      </c>
      <c r="V438" s="221">
        <v>6</v>
      </c>
      <c r="W438" s="312">
        <v>2024</v>
      </c>
      <c r="X438" s="40">
        <f t="shared" si="130"/>
        <v>0</v>
      </c>
      <c r="Y438" s="40">
        <f t="shared" si="131"/>
        <v>0</v>
      </c>
      <c r="Z438" s="40">
        <f t="shared" si="132"/>
        <v>0</v>
      </c>
    </row>
    <row r="439" spans="1:26" ht="63.75">
      <c r="A439" s="51" t="s">
        <v>272</v>
      </c>
      <c r="B439" s="17">
        <v>1</v>
      </c>
      <c r="C439" s="17">
        <v>4</v>
      </c>
      <c r="D439" s="17">
        <v>2</v>
      </c>
      <c r="E439" s="17">
        <v>0</v>
      </c>
      <c r="F439" s="17">
        <v>1</v>
      </c>
      <c r="G439" s="20"/>
      <c r="H439" s="52" t="s">
        <v>26</v>
      </c>
      <c r="I439" s="20" t="s">
        <v>297</v>
      </c>
      <c r="J439" s="23" t="s">
        <v>353</v>
      </c>
      <c r="K439" s="23" t="s">
        <v>298</v>
      </c>
      <c r="L439" s="7" t="s">
        <v>298</v>
      </c>
      <c r="M439" s="145" t="s">
        <v>298</v>
      </c>
      <c r="N439" s="216" t="s">
        <v>298</v>
      </c>
      <c r="O439" s="216" t="s">
        <v>298</v>
      </c>
      <c r="P439" s="216" t="s">
        <v>298</v>
      </c>
      <c r="Q439" s="216" t="s">
        <v>298</v>
      </c>
      <c r="R439" s="219" t="s">
        <v>298</v>
      </c>
      <c r="S439" s="219" t="s">
        <v>298</v>
      </c>
      <c r="T439" s="219" t="s">
        <v>298</v>
      </c>
      <c r="U439" s="219" t="s">
        <v>298</v>
      </c>
      <c r="V439" s="219" t="s">
        <v>298</v>
      </c>
      <c r="W439" s="307">
        <v>2024</v>
      </c>
      <c r="X439" s="40"/>
      <c r="Y439" s="40"/>
      <c r="Z439" s="40"/>
    </row>
    <row r="440" spans="1:26" ht="38.25">
      <c r="A440" s="36" t="s">
        <v>272</v>
      </c>
      <c r="B440" s="12">
        <v>1</v>
      </c>
      <c r="C440" s="12">
        <v>4</v>
      </c>
      <c r="D440" s="12">
        <v>2</v>
      </c>
      <c r="E440" s="12">
        <v>0</v>
      </c>
      <c r="F440" s="12">
        <v>1</v>
      </c>
      <c r="G440" s="14"/>
      <c r="H440" s="63" t="s">
        <v>67</v>
      </c>
      <c r="I440" s="14" t="s">
        <v>312</v>
      </c>
      <c r="J440" s="8">
        <v>0</v>
      </c>
      <c r="K440" s="8">
        <v>1</v>
      </c>
      <c r="L440" s="8">
        <v>1</v>
      </c>
      <c r="M440" s="163">
        <v>1</v>
      </c>
      <c r="N440" s="215">
        <v>1</v>
      </c>
      <c r="O440" s="215">
        <v>1</v>
      </c>
      <c r="P440" s="215">
        <v>1</v>
      </c>
      <c r="Q440" s="215">
        <v>1</v>
      </c>
      <c r="R440" s="215">
        <v>1</v>
      </c>
      <c r="S440" s="215">
        <v>1</v>
      </c>
      <c r="T440" s="215">
        <v>1</v>
      </c>
      <c r="U440" s="215">
        <v>1</v>
      </c>
      <c r="V440" s="223">
        <f aca="true" t="shared" si="149" ref="V440:V450">J440+K440+L440+M440+O440+Q440+S440+T440+U440</f>
        <v>8</v>
      </c>
      <c r="W440" s="312">
        <v>2024</v>
      </c>
      <c r="X440" s="40">
        <f t="shared" si="130"/>
        <v>0</v>
      </c>
      <c r="Y440" s="40">
        <f t="shared" si="131"/>
        <v>0</v>
      </c>
      <c r="Z440" s="40">
        <f t="shared" si="132"/>
        <v>0</v>
      </c>
    </row>
    <row r="441" spans="1:27" s="50" customFormat="1" ht="63.75">
      <c r="A441" s="51" t="s">
        <v>272</v>
      </c>
      <c r="B441" s="17">
        <v>1</v>
      </c>
      <c r="C441" s="17">
        <v>4</v>
      </c>
      <c r="D441" s="17">
        <v>2</v>
      </c>
      <c r="E441" s="17">
        <v>0</v>
      </c>
      <c r="F441" s="17">
        <v>2</v>
      </c>
      <c r="G441" s="17"/>
      <c r="H441" s="53" t="s">
        <v>122</v>
      </c>
      <c r="I441" s="17" t="s">
        <v>273</v>
      </c>
      <c r="J441" s="7">
        <f aca="true" t="shared" si="150" ref="J441:U441">J442</f>
        <v>0</v>
      </c>
      <c r="K441" s="7">
        <f t="shared" si="150"/>
        <v>20</v>
      </c>
      <c r="L441" s="7">
        <f t="shared" si="150"/>
        <v>24</v>
      </c>
      <c r="M441" s="148">
        <f t="shared" si="150"/>
        <v>20</v>
      </c>
      <c r="N441" s="216">
        <f>N442</f>
        <v>20</v>
      </c>
      <c r="O441" s="216">
        <f t="shared" si="150"/>
        <v>20</v>
      </c>
      <c r="P441" s="216">
        <f>P442</f>
        <v>30</v>
      </c>
      <c r="Q441" s="216">
        <f t="shared" si="150"/>
        <v>30</v>
      </c>
      <c r="R441" s="213">
        <f>R442</f>
        <v>30</v>
      </c>
      <c r="S441" s="213">
        <f t="shared" si="150"/>
        <v>30</v>
      </c>
      <c r="T441" s="213">
        <f t="shared" si="150"/>
        <v>30</v>
      </c>
      <c r="U441" s="213">
        <f t="shared" si="150"/>
        <v>30</v>
      </c>
      <c r="V441" s="216">
        <f t="shared" si="149"/>
        <v>204</v>
      </c>
      <c r="W441" s="308">
        <v>2024</v>
      </c>
      <c r="X441" s="40">
        <f t="shared" si="130"/>
        <v>0</v>
      </c>
      <c r="Y441" s="40">
        <f t="shared" si="131"/>
        <v>0</v>
      </c>
      <c r="Z441" s="40">
        <f t="shared" si="132"/>
        <v>0</v>
      </c>
      <c r="AA441" s="37"/>
    </row>
    <row r="442" spans="1:27" s="50" customFormat="1" ht="12.75">
      <c r="A442" s="36" t="s">
        <v>272</v>
      </c>
      <c r="B442" s="12">
        <v>1</v>
      </c>
      <c r="C442" s="12">
        <v>4</v>
      </c>
      <c r="D442" s="12">
        <v>2</v>
      </c>
      <c r="E442" s="12">
        <v>0</v>
      </c>
      <c r="F442" s="12">
        <v>2</v>
      </c>
      <c r="G442" s="12">
        <v>3</v>
      </c>
      <c r="H442" s="42" t="s">
        <v>274</v>
      </c>
      <c r="I442" s="12" t="s">
        <v>273</v>
      </c>
      <c r="J442" s="5">
        <v>0</v>
      </c>
      <c r="K442" s="5">
        <v>20</v>
      </c>
      <c r="L442" s="5">
        <v>24</v>
      </c>
      <c r="M442" s="160">
        <v>20</v>
      </c>
      <c r="N442" s="214">
        <v>20</v>
      </c>
      <c r="O442" s="214">
        <v>20</v>
      </c>
      <c r="P442" s="214">
        <v>30</v>
      </c>
      <c r="Q442" s="214">
        <v>30</v>
      </c>
      <c r="R442" s="214">
        <v>30</v>
      </c>
      <c r="S442" s="214">
        <v>30</v>
      </c>
      <c r="T442" s="214">
        <v>30</v>
      </c>
      <c r="U442" s="214">
        <v>30</v>
      </c>
      <c r="V442" s="217">
        <f t="shared" si="149"/>
        <v>204</v>
      </c>
      <c r="W442" s="311">
        <v>2024</v>
      </c>
      <c r="X442" s="40">
        <f t="shared" si="130"/>
        <v>0</v>
      </c>
      <c r="Y442" s="40">
        <f t="shared" si="131"/>
        <v>0</v>
      </c>
      <c r="Z442" s="40">
        <f t="shared" si="132"/>
        <v>0</v>
      </c>
      <c r="AA442" s="37"/>
    </row>
    <row r="443" spans="1:26" ht="25.5">
      <c r="A443" s="36" t="s">
        <v>272</v>
      </c>
      <c r="B443" s="12">
        <v>1</v>
      </c>
      <c r="C443" s="12">
        <v>4</v>
      </c>
      <c r="D443" s="12">
        <v>2</v>
      </c>
      <c r="E443" s="12">
        <v>0</v>
      </c>
      <c r="F443" s="12">
        <v>2</v>
      </c>
      <c r="G443" s="14"/>
      <c r="H443" s="58" t="s">
        <v>15</v>
      </c>
      <c r="I443" s="14" t="s">
        <v>301</v>
      </c>
      <c r="J443" s="71">
        <v>0</v>
      </c>
      <c r="K443" s="71">
        <v>8</v>
      </c>
      <c r="L443" s="56">
        <v>9</v>
      </c>
      <c r="M443" s="182">
        <v>9</v>
      </c>
      <c r="N443" s="253">
        <v>3</v>
      </c>
      <c r="O443" s="253">
        <v>3</v>
      </c>
      <c r="P443" s="253">
        <v>4</v>
      </c>
      <c r="Q443" s="253">
        <v>4</v>
      </c>
      <c r="R443" s="272">
        <v>4</v>
      </c>
      <c r="S443" s="272">
        <v>4</v>
      </c>
      <c r="T443" s="272">
        <v>4</v>
      </c>
      <c r="U443" s="272">
        <v>4</v>
      </c>
      <c r="V443" s="260">
        <f t="shared" si="149"/>
        <v>45</v>
      </c>
      <c r="W443" s="312">
        <v>2024</v>
      </c>
      <c r="X443" s="40">
        <f t="shared" si="130"/>
        <v>0</v>
      </c>
      <c r="Y443" s="40">
        <f t="shared" si="131"/>
        <v>0</v>
      </c>
      <c r="Z443" s="40">
        <f t="shared" si="132"/>
        <v>0</v>
      </c>
    </row>
    <row r="444" spans="1:26" ht="51">
      <c r="A444" s="36" t="s">
        <v>272</v>
      </c>
      <c r="B444" s="12">
        <v>1</v>
      </c>
      <c r="C444" s="12">
        <v>4</v>
      </c>
      <c r="D444" s="12">
        <v>2</v>
      </c>
      <c r="E444" s="12">
        <v>0</v>
      </c>
      <c r="F444" s="12">
        <v>2</v>
      </c>
      <c r="G444" s="14"/>
      <c r="H444" s="82" t="s">
        <v>16</v>
      </c>
      <c r="I444" s="14" t="s">
        <v>301</v>
      </c>
      <c r="J444" s="8">
        <v>0</v>
      </c>
      <c r="K444" s="8">
        <v>1</v>
      </c>
      <c r="L444" s="1">
        <v>1</v>
      </c>
      <c r="M444" s="147">
        <v>1</v>
      </c>
      <c r="N444" s="223">
        <v>1</v>
      </c>
      <c r="O444" s="223">
        <v>1</v>
      </c>
      <c r="P444" s="223">
        <v>1</v>
      </c>
      <c r="Q444" s="223">
        <v>1</v>
      </c>
      <c r="R444" s="260">
        <v>1</v>
      </c>
      <c r="S444" s="260">
        <v>1</v>
      </c>
      <c r="T444" s="260">
        <v>1</v>
      </c>
      <c r="U444" s="260">
        <v>1</v>
      </c>
      <c r="V444" s="260">
        <f t="shared" si="149"/>
        <v>8</v>
      </c>
      <c r="W444" s="312">
        <v>2024</v>
      </c>
      <c r="X444" s="40">
        <f t="shared" si="130"/>
        <v>0</v>
      </c>
      <c r="Y444" s="40">
        <f t="shared" si="131"/>
        <v>0</v>
      </c>
      <c r="Z444" s="40">
        <f t="shared" si="132"/>
        <v>0</v>
      </c>
    </row>
    <row r="445" spans="1:27" s="50" customFormat="1" ht="38.25">
      <c r="A445" s="38" t="s">
        <v>272</v>
      </c>
      <c r="B445" s="2">
        <v>1</v>
      </c>
      <c r="C445" s="2">
        <v>5</v>
      </c>
      <c r="D445" s="2">
        <v>0</v>
      </c>
      <c r="E445" s="2">
        <v>0</v>
      </c>
      <c r="F445" s="2">
        <v>0</v>
      </c>
      <c r="G445" s="2"/>
      <c r="H445" s="39" t="s">
        <v>151</v>
      </c>
      <c r="I445" s="2" t="s">
        <v>273</v>
      </c>
      <c r="J445" s="4">
        <f aca="true" t="shared" si="151" ref="J445:U445">J446+J447</f>
        <v>60170.7</v>
      </c>
      <c r="K445" s="4">
        <f t="shared" si="151"/>
        <v>90551.3</v>
      </c>
      <c r="L445" s="4">
        <f t="shared" si="151"/>
        <v>41710.8</v>
      </c>
      <c r="M445" s="155">
        <f t="shared" si="151"/>
        <v>44031.9</v>
      </c>
      <c r="N445" s="206">
        <f>N446+N447</f>
        <v>11598.3</v>
      </c>
      <c r="O445" s="206">
        <f t="shared" si="151"/>
        <v>11810.6</v>
      </c>
      <c r="P445" s="206">
        <f>P446+P447</f>
        <v>11598.3</v>
      </c>
      <c r="Q445" s="206">
        <f t="shared" si="151"/>
        <v>11856</v>
      </c>
      <c r="R445" s="206">
        <f>R446+R447</f>
        <v>11598.3</v>
      </c>
      <c r="S445" s="206">
        <f t="shared" si="151"/>
        <v>11903.3</v>
      </c>
      <c r="T445" s="206">
        <f t="shared" si="151"/>
        <v>11598.3</v>
      </c>
      <c r="U445" s="206">
        <f t="shared" si="151"/>
        <v>11598.3</v>
      </c>
      <c r="V445" s="228">
        <f>J445+K445+L445+M445+O445+Q445+S445+T445+U445</f>
        <v>295231.2</v>
      </c>
      <c r="W445" s="304">
        <v>2024</v>
      </c>
      <c r="X445" s="40">
        <f t="shared" si="130"/>
        <v>212.3</v>
      </c>
      <c r="Y445" s="40">
        <f t="shared" si="131"/>
        <v>257.7</v>
      </c>
      <c r="Z445" s="40">
        <f t="shared" si="132"/>
        <v>305</v>
      </c>
      <c r="AA445" s="37"/>
    </row>
    <row r="446" spans="1:27" s="50" customFormat="1" ht="12.75">
      <c r="A446" s="36" t="s">
        <v>272</v>
      </c>
      <c r="B446" s="12">
        <v>1</v>
      </c>
      <c r="C446" s="12">
        <v>5</v>
      </c>
      <c r="D446" s="12">
        <v>0</v>
      </c>
      <c r="E446" s="12">
        <v>0</v>
      </c>
      <c r="F446" s="12">
        <v>0</v>
      </c>
      <c r="G446" s="12">
        <v>3</v>
      </c>
      <c r="H446" s="42" t="s">
        <v>274</v>
      </c>
      <c r="I446" s="12" t="s">
        <v>273</v>
      </c>
      <c r="J446" s="5">
        <f aca="true" t="shared" si="152" ref="J446:U446">J449+J461+J473+J502</f>
        <v>59227.5</v>
      </c>
      <c r="K446" s="5">
        <f t="shared" si="152"/>
        <v>89592.3</v>
      </c>
      <c r="L446" s="5">
        <f t="shared" si="152"/>
        <v>40544.2</v>
      </c>
      <c r="M446" s="160">
        <f>M449+M461+M473+M502</f>
        <v>42916.6</v>
      </c>
      <c r="N446" s="214">
        <f>N449+N461+N473+N502</f>
        <v>10675</v>
      </c>
      <c r="O446" s="214">
        <f t="shared" si="152"/>
        <v>10675</v>
      </c>
      <c r="P446" s="214">
        <f>P449+P461+P473+P502</f>
        <v>10675</v>
      </c>
      <c r="Q446" s="214">
        <f t="shared" si="152"/>
        <v>10675</v>
      </c>
      <c r="R446" s="214">
        <f>R449+R461+R473+R502</f>
        <v>10675</v>
      </c>
      <c r="S446" s="214">
        <f t="shared" si="152"/>
        <v>10675</v>
      </c>
      <c r="T446" s="214">
        <f t="shared" si="152"/>
        <v>10675</v>
      </c>
      <c r="U446" s="214">
        <f t="shared" si="152"/>
        <v>10675</v>
      </c>
      <c r="V446" s="217">
        <f>J446+K446+L446+M446+O446+Q446+S446+T446+U446</f>
        <v>285655.6</v>
      </c>
      <c r="W446" s="311">
        <v>2024</v>
      </c>
      <c r="X446" s="40">
        <f t="shared" si="130"/>
        <v>0</v>
      </c>
      <c r="Y446" s="40">
        <f t="shared" si="131"/>
        <v>0</v>
      </c>
      <c r="Z446" s="40">
        <f t="shared" si="132"/>
        <v>0</v>
      </c>
      <c r="AA446" s="37"/>
    </row>
    <row r="447" spans="1:27" s="50" customFormat="1" ht="12.75">
      <c r="A447" s="36" t="s">
        <v>272</v>
      </c>
      <c r="B447" s="12">
        <v>1</v>
      </c>
      <c r="C447" s="12">
        <v>5</v>
      </c>
      <c r="D447" s="12">
        <v>0</v>
      </c>
      <c r="E447" s="12">
        <v>0</v>
      </c>
      <c r="F447" s="12">
        <v>0</v>
      </c>
      <c r="G447" s="12">
        <v>2</v>
      </c>
      <c r="H447" s="42" t="s">
        <v>275</v>
      </c>
      <c r="I447" s="12" t="s">
        <v>273</v>
      </c>
      <c r="J447" s="5">
        <f aca="true" t="shared" si="153" ref="J447:U447">J474</f>
        <v>943.2</v>
      </c>
      <c r="K447" s="5">
        <f t="shared" si="153"/>
        <v>959</v>
      </c>
      <c r="L447" s="5">
        <f t="shared" si="153"/>
        <v>1166.6</v>
      </c>
      <c r="M447" s="160">
        <f t="shared" si="153"/>
        <v>1115.3</v>
      </c>
      <c r="N447" s="214">
        <f>N474</f>
        <v>923.3</v>
      </c>
      <c r="O447" s="214">
        <f t="shared" si="153"/>
        <v>1135.6</v>
      </c>
      <c r="P447" s="214">
        <f>P474</f>
        <v>923.3</v>
      </c>
      <c r="Q447" s="214">
        <f t="shared" si="153"/>
        <v>1181</v>
      </c>
      <c r="R447" s="214">
        <f>R474</f>
        <v>923.3</v>
      </c>
      <c r="S447" s="214">
        <f t="shared" si="153"/>
        <v>1228.3</v>
      </c>
      <c r="T447" s="214">
        <f t="shared" si="153"/>
        <v>923.3</v>
      </c>
      <c r="U447" s="214">
        <f t="shared" si="153"/>
        <v>923.3</v>
      </c>
      <c r="V447" s="217">
        <f>J447+K447+L447+M447+O447+Q447+S447+T447+U447</f>
        <v>9575.6</v>
      </c>
      <c r="W447" s="311">
        <v>2024</v>
      </c>
      <c r="X447" s="40">
        <f t="shared" si="130"/>
        <v>212.3</v>
      </c>
      <c r="Y447" s="40">
        <f t="shared" si="131"/>
        <v>257.7</v>
      </c>
      <c r="Z447" s="40">
        <f t="shared" si="132"/>
        <v>305</v>
      </c>
      <c r="AA447" s="37"/>
    </row>
    <row r="448" spans="1:27" s="50" customFormat="1" ht="25.5">
      <c r="A448" s="65" t="s">
        <v>272</v>
      </c>
      <c r="B448" s="11">
        <v>1</v>
      </c>
      <c r="C448" s="11">
        <v>5</v>
      </c>
      <c r="D448" s="11">
        <v>1</v>
      </c>
      <c r="E448" s="11">
        <v>0</v>
      </c>
      <c r="F448" s="11">
        <v>0</v>
      </c>
      <c r="G448" s="11"/>
      <c r="H448" s="49" t="s">
        <v>174</v>
      </c>
      <c r="I448" s="11" t="s">
        <v>273</v>
      </c>
      <c r="J448" s="10">
        <f aca="true" t="shared" si="154" ref="J448:U448">J449</f>
        <v>300</v>
      </c>
      <c r="K448" s="10">
        <f t="shared" si="154"/>
        <v>300</v>
      </c>
      <c r="L448" s="10">
        <f t="shared" si="154"/>
        <v>254</v>
      </c>
      <c r="M448" s="161">
        <f t="shared" si="154"/>
        <v>300</v>
      </c>
      <c r="N448" s="218">
        <f>N449</f>
        <v>300</v>
      </c>
      <c r="O448" s="218">
        <f t="shared" si="154"/>
        <v>300</v>
      </c>
      <c r="P448" s="218">
        <f>P449</f>
        <v>300</v>
      </c>
      <c r="Q448" s="218">
        <f t="shared" si="154"/>
        <v>300</v>
      </c>
      <c r="R448" s="218">
        <f>R449</f>
        <v>300</v>
      </c>
      <c r="S448" s="218">
        <f t="shared" si="154"/>
        <v>300</v>
      </c>
      <c r="T448" s="218">
        <f t="shared" si="154"/>
        <v>300</v>
      </c>
      <c r="U448" s="218">
        <f t="shared" si="154"/>
        <v>300</v>
      </c>
      <c r="V448" s="218">
        <f t="shared" si="149"/>
        <v>2654</v>
      </c>
      <c r="W448" s="306">
        <v>2024</v>
      </c>
      <c r="X448" s="40">
        <f t="shared" si="130"/>
        <v>0</v>
      </c>
      <c r="Y448" s="40">
        <f t="shared" si="131"/>
        <v>0</v>
      </c>
      <c r="Z448" s="40">
        <f t="shared" si="132"/>
        <v>0</v>
      </c>
      <c r="AA448" s="37"/>
    </row>
    <row r="449" spans="1:27" s="50" customFormat="1" ht="12.75">
      <c r="A449" s="36" t="s">
        <v>272</v>
      </c>
      <c r="B449" s="12">
        <v>1</v>
      </c>
      <c r="C449" s="12">
        <v>5</v>
      </c>
      <c r="D449" s="12">
        <v>1</v>
      </c>
      <c r="E449" s="12">
        <v>0</v>
      </c>
      <c r="F449" s="12">
        <v>0</v>
      </c>
      <c r="G449" s="12">
        <v>3</v>
      </c>
      <c r="H449" s="42" t="s">
        <v>274</v>
      </c>
      <c r="I449" s="12" t="s">
        <v>273</v>
      </c>
      <c r="J449" s="5">
        <f aca="true" t="shared" si="155" ref="J449:U449">J456</f>
        <v>300</v>
      </c>
      <c r="K449" s="5">
        <f t="shared" si="155"/>
        <v>300</v>
      </c>
      <c r="L449" s="5">
        <f t="shared" si="155"/>
        <v>254</v>
      </c>
      <c r="M449" s="160">
        <f t="shared" si="155"/>
        <v>300</v>
      </c>
      <c r="N449" s="214">
        <f>N456</f>
        <v>300</v>
      </c>
      <c r="O449" s="214">
        <f t="shared" si="155"/>
        <v>300</v>
      </c>
      <c r="P449" s="214">
        <f>P456</f>
        <v>300</v>
      </c>
      <c r="Q449" s="214">
        <f t="shared" si="155"/>
        <v>300</v>
      </c>
      <c r="R449" s="214">
        <f>R456</f>
        <v>300</v>
      </c>
      <c r="S449" s="214">
        <f t="shared" si="155"/>
        <v>300</v>
      </c>
      <c r="T449" s="214">
        <f t="shared" si="155"/>
        <v>300</v>
      </c>
      <c r="U449" s="214">
        <f t="shared" si="155"/>
        <v>300</v>
      </c>
      <c r="V449" s="217">
        <f t="shared" si="149"/>
        <v>2654</v>
      </c>
      <c r="W449" s="311">
        <v>2024</v>
      </c>
      <c r="X449" s="40">
        <f t="shared" si="130"/>
        <v>0</v>
      </c>
      <c r="Y449" s="40">
        <f t="shared" si="131"/>
        <v>0</v>
      </c>
      <c r="Z449" s="40">
        <f t="shared" si="132"/>
        <v>0</v>
      </c>
      <c r="AA449" s="37"/>
    </row>
    <row r="450" spans="1:26" ht="38.25">
      <c r="A450" s="36" t="s">
        <v>272</v>
      </c>
      <c r="B450" s="12">
        <v>1</v>
      </c>
      <c r="C450" s="12">
        <v>5</v>
      </c>
      <c r="D450" s="12">
        <v>1</v>
      </c>
      <c r="E450" s="12">
        <v>0</v>
      </c>
      <c r="F450" s="12">
        <v>0</v>
      </c>
      <c r="G450" s="14"/>
      <c r="H450" s="63" t="s">
        <v>175</v>
      </c>
      <c r="I450" s="14" t="s">
        <v>312</v>
      </c>
      <c r="J450" s="71">
        <v>1</v>
      </c>
      <c r="K450" s="71">
        <v>1</v>
      </c>
      <c r="L450" s="71">
        <v>1</v>
      </c>
      <c r="M450" s="165">
        <v>1</v>
      </c>
      <c r="N450" s="212">
        <v>1</v>
      </c>
      <c r="O450" s="212">
        <v>1</v>
      </c>
      <c r="P450" s="212">
        <v>1</v>
      </c>
      <c r="Q450" s="212">
        <v>1</v>
      </c>
      <c r="R450" s="212">
        <v>1</v>
      </c>
      <c r="S450" s="212">
        <v>1</v>
      </c>
      <c r="T450" s="212">
        <v>1</v>
      </c>
      <c r="U450" s="212">
        <v>1</v>
      </c>
      <c r="V450" s="253">
        <f t="shared" si="149"/>
        <v>9</v>
      </c>
      <c r="W450" s="312">
        <v>2024</v>
      </c>
      <c r="X450" s="40">
        <f t="shared" si="130"/>
        <v>0</v>
      </c>
      <c r="Y450" s="40">
        <f t="shared" si="131"/>
        <v>0</v>
      </c>
      <c r="Z450" s="40">
        <f t="shared" si="132"/>
        <v>0</v>
      </c>
    </row>
    <row r="451" spans="1:26" ht="51">
      <c r="A451" s="36" t="s">
        <v>272</v>
      </c>
      <c r="B451" s="12">
        <v>1</v>
      </c>
      <c r="C451" s="12">
        <v>5</v>
      </c>
      <c r="D451" s="12">
        <v>1</v>
      </c>
      <c r="E451" s="12">
        <v>0</v>
      </c>
      <c r="F451" s="12">
        <v>0</v>
      </c>
      <c r="G451" s="14"/>
      <c r="H451" s="63" t="s">
        <v>176</v>
      </c>
      <c r="I451" s="14" t="s">
        <v>278</v>
      </c>
      <c r="J451" s="9">
        <v>13</v>
      </c>
      <c r="K451" s="14">
        <v>19.4</v>
      </c>
      <c r="L451" s="9">
        <v>9</v>
      </c>
      <c r="M451" s="174">
        <v>17.2</v>
      </c>
      <c r="N451" s="231">
        <v>18.8</v>
      </c>
      <c r="O451" s="231">
        <v>18.8</v>
      </c>
      <c r="P451" s="231">
        <v>23.4</v>
      </c>
      <c r="Q451" s="231">
        <v>23.4</v>
      </c>
      <c r="R451" s="231">
        <v>23.4</v>
      </c>
      <c r="S451" s="231">
        <v>23.4</v>
      </c>
      <c r="T451" s="231">
        <v>23.4</v>
      </c>
      <c r="U451" s="231">
        <v>25</v>
      </c>
      <c r="V451" s="221">
        <v>25</v>
      </c>
      <c r="W451" s="312">
        <v>2024</v>
      </c>
      <c r="X451" s="40">
        <f t="shared" si="130"/>
        <v>0</v>
      </c>
      <c r="Y451" s="40">
        <f t="shared" si="131"/>
        <v>0</v>
      </c>
      <c r="Z451" s="40">
        <f t="shared" si="132"/>
        <v>0</v>
      </c>
    </row>
    <row r="452" spans="1:26" ht="63.75">
      <c r="A452" s="51" t="s">
        <v>272</v>
      </c>
      <c r="B452" s="17">
        <v>1</v>
      </c>
      <c r="C452" s="17">
        <v>5</v>
      </c>
      <c r="D452" s="17">
        <v>1</v>
      </c>
      <c r="E452" s="17">
        <v>0</v>
      </c>
      <c r="F452" s="17">
        <v>1</v>
      </c>
      <c r="G452" s="20"/>
      <c r="H452" s="52" t="s">
        <v>27</v>
      </c>
      <c r="I452" s="20" t="s">
        <v>297</v>
      </c>
      <c r="J452" s="23" t="s">
        <v>298</v>
      </c>
      <c r="K452" s="23" t="s">
        <v>298</v>
      </c>
      <c r="L452" s="7" t="s">
        <v>298</v>
      </c>
      <c r="M452" s="145" t="s">
        <v>298</v>
      </c>
      <c r="N452" s="216" t="s">
        <v>298</v>
      </c>
      <c r="O452" s="216" t="s">
        <v>298</v>
      </c>
      <c r="P452" s="216" t="s">
        <v>298</v>
      </c>
      <c r="Q452" s="216" t="s">
        <v>298</v>
      </c>
      <c r="R452" s="216" t="s">
        <v>298</v>
      </c>
      <c r="S452" s="216" t="s">
        <v>298</v>
      </c>
      <c r="T452" s="216" t="s">
        <v>298</v>
      </c>
      <c r="U452" s="216" t="s">
        <v>298</v>
      </c>
      <c r="V452" s="216" t="s">
        <v>298</v>
      </c>
      <c r="W452" s="307">
        <v>2024</v>
      </c>
      <c r="X452" s="40"/>
      <c r="Y452" s="40"/>
      <c r="Z452" s="40"/>
    </row>
    <row r="453" spans="1:26" ht="63.75">
      <c r="A453" s="36" t="s">
        <v>272</v>
      </c>
      <c r="B453" s="12">
        <v>1</v>
      </c>
      <c r="C453" s="12">
        <v>5</v>
      </c>
      <c r="D453" s="12">
        <v>1</v>
      </c>
      <c r="E453" s="12">
        <v>0</v>
      </c>
      <c r="F453" s="12">
        <v>1</v>
      </c>
      <c r="G453" s="14"/>
      <c r="H453" s="58" t="s">
        <v>152</v>
      </c>
      <c r="I453" s="14" t="s">
        <v>312</v>
      </c>
      <c r="J453" s="8">
        <v>1</v>
      </c>
      <c r="K453" s="8">
        <v>0</v>
      </c>
      <c r="L453" s="1">
        <v>0</v>
      </c>
      <c r="M453" s="147">
        <v>0</v>
      </c>
      <c r="N453" s="223">
        <v>0</v>
      </c>
      <c r="O453" s="223">
        <v>0</v>
      </c>
      <c r="P453" s="223">
        <v>0</v>
      </c>
      <c r="Q453" s="223">
        <v>0</v>
      </c>
      <c r="R453" s="223">
        <v>0</v>
      </c>
      <c r="S453" s="223">
        <v>0</v>
      </c>
      <c r="T453" s="223">
        <v>0</v>
      </c>
      <c r="U453" s="223">
        <v>0</v>
      </c>
      <c r="V453" s="260">
        <f aca="true" t="shared" si="156" ref="V453:V461">J453+K453+L453+M453+O453+Q453+S453+T453+U453</f>
        <v>1</v>
      </c>
      <c r="W453" s="305">
        <v>2016</v>
      </c>
      <c r="X453" s="40">
        <f t="shared" si="130"/>
        <v>0</v>
      </c>
      <c r="Y453" s="40">
        <f t="shared" si="131"/>
        <v>0</v>
      </c>
      <c r="Z453" s="40">
        <f t="shared" si="132"/>
        <v>0</v>
      </c>
    </row>
    <row r="454" spans="1:26" ht="51">
      <c r="A454" s="36" t="s">
        <v>272</v>
      </c>
      <c r="B454" s="12">
        <v>1</v>
      </c>
      <c r="C454" s="12">
        <v>5</v>
      </c>
      <c r="D454" s="12">
        <v>1</v>
      </c>
      <c r="E454" s="12">
        <v>0</v>
      </c>
      <c r="F454" s="12">
        <v>1</v>
      </c>
      <c r="G454" s="14"/>
      <c r="H454" s="58" t="s">
        <v>177</v>
      </c>
      <c r="I454" s="14" t="s">
        <v>312</v>
      </c>
      <c r="J454" s="8">
        <v>20</v>
      </c>
      <c r="K454" s="8">
        <v>20</v>
      </c>
      <c r="L454" s="8">
        <v>20</v>
      </c>
      <c r="M454" s="163">
        <v>20</v>
      </c>
      <c r="N454" s="215">
        <v>20</v>
      </c>
      <c r="O454" s="215">
        <v>20</v>
      </c>
      <c r="P454" s="215">
        <v>20</v>
      </c>
      <c r="Q454" s="215">
        <v>20</v>
      </c>
      <c r="R454" s="215">
        <v>20</v>
      </c>
      <c r="S454" s="215">
        <v>20</v>
      </c>
      <c r="T454" s="215">
        <v>20</v>
      </c>
      <c r="U454" s="215">
        <v>20</v>
      </c>
      <c r="V454" s="260">
        <f t="shared" si="156"/>
        <v>180</v>
      </c>
      <c r="W454" s="312">
        <v>2024</v>
      </c>
      <c r="X454" s="40">
        <f t="shared" si="130"/>
        <v>0</v>
      </c>
      <c r="Y454" s="40">
        <f t="shared" si="131"/>
        <v>0</v>
      </c>
      <c r="Z454" s="40">
        <f t="shared" si="132"/>
        <v>0</v>
      </c>
    </row>
    <row r="455" spans="1:27" s="50" customFormat="1" ht="51">
      <c r="A455" s="51" t="s">
        <v>272</v>
      </c>
      <c r="B455" s="17">
        <v>1</v>
      </c>
      <c r="C455" s="17">
        <v>5</v>
      </c>
      <c r="D455" s="17">
        <v>1</v>
      </c>
      <c r="E455" s="17">
        <v>0</v>
      </c>
      <c r="F455" s="17">
        <v>2</v>
      </c>
      <c r="G455" s="17"/>
      <c r="H455" s="53" t="s">
        <v>123</v>
      </c>
      <c r="I455" s="17" t="s">
        <v>273</v>
      </c>
      <c r="J455" s="7">
        <f aca="true" t="shared" si="157" ref="J455:U455">J456</f>
        <v>300</v>
      </c>
      <c r="K455" s="7">
        <f t="shared" si="157"/>
        <v>300</v>
      </c>
      <c r="L455" s="7">
        <f t="shared" si="157"/>
        <v>254</v>
      </c>
      <c r="M455" s="148">
        <f t="shared" si="157"/>
        <v>300</v>
      </c>
      <c r="N455" s="216">
        <f>N456</f>
        <v>300</v>
      </c>
      <c r="O455" s="216">
        <f t="shared" si="157"/>
        <v>300</v>
      </c>
      <c r="P455" s="216">
        <f>P456</f>
        <v>300</v>
      </c>
      <c r="Q455" s="216">
        <f t="shared" si="157"/>
        <v>300</v>
      </c>
      <c r="R455" s="213">
        <f>R456</f>
        <v>300</v>
      </c>
      <c r="S455" s="213">
        <f t="shared" si="157"/>
        <v>300</v>
      </c>
      <c r="T455" s="213">
        <f t="shared" si="157"/>
        <v>300</v>
      </c>
      <c r="U455" s="213">
        <f t="shared" si="157"/>
        <v>300</v>
      </c>
      <c r="V455" s="216">
        <f t="shared" si="156"/>
        <v>2654</v>
      </c>
      <c r="W455" s="308">
        <v>2024</v>
      </c>
      <c r="X455" s="40">
        <f t="shared" si="130"/>
        <v>0</v>
      </c>
      <c r="Y455" s="40">
        <f t="shared" si="131"/>
        <v>0</v>
      </c>
      <c r="Z455" s="40">
        <f t="shared" si="132"/>
        <v>0</v>
      </c>
      <c r="AA455" s="37"/>
    </row>
    <row r="456" spans="1:27" s="50" customFormat="1" ht="12.75">
      <c r="A456" s="36" t="s">
        <v>272</v>
      </c>
      <c r="B456" s="12">
        <v>1</v>
      </c>
      <c r="C456" s="12">
        <v>5</v>
      </c>
      <c r="D456" s="12">
        <v>1</v>
      </c>
      <c r="E456" s="12">
        <v>0</v>
      </c>
      <c r="F456" s="12">
        <v>2</v>
      </c>
      <c r="G456" s="12">
        <v>3</v>
      </c>
      <c r="H456" s="42" t="s">
        <v>274</v>
      </c>
      <c r="I456" s="12" t="s">
        <v>273</v>
      </c>
      <c r="J456" s="5">
        <v>300</v>
      </c>
      <c r="K456" s="5">
        <v>300</v>
      </c>
      <c r="L456" s="5">
        <v>254</v>
      </c>
      <c r="M456" s="160">
        <v>300</v>
      </c>
      <c r="N456" s="214">
        <v>300</v>
      </c>
      <c r="O456" s="214">
        <v>300</v>
      </c>
      <c r="P456" s="214">
        <v>300</v>
      </c>
      <c r="Q456" s="214">
        <v>300</v>
      </c>
      <c r="R456" s="214">
        <v>300</v>
      </c>
      <c r="S456" s="214">
        <v>300</v>
      </c>
      <c r="T456" s="214">
        <v>300</v>
      </c>
      <c r="U456" s="214">
        <v>300</v>
      </c>
      <c r="V456" s="217">
        <f t="shared" si="156"/>
        <v>2654</v>
      </c>
      <c r="W456" s="311">
        <v>2024</v>
      </c>
      <c r="X456" s="40">
        <f t="shared" si="130"/>
        <v>0</v>
      </c>
      <c r="Y456" s="40">
        <f t="shared" si="131"/>
        <v>0</v>
      </c>
      <c r="Z456" s="40">
        <f t="shared" si="132"/>
        <v>0</v>
      </c>
      <c r="AA456" s="37"/>
    </row>
    <row r="457" spans="1:26" ht="51">
      <c r="A457" s="36" t="s">
        <v>272</v>
      </c>
      <c r="B457" s="12">
        <v>1</v>
      </c>
      <c r="C457" s="12">
        <v>5</v>
      </c>
      <c r="D457" s="12">
        <v>1</v>
      </c>
      <c r="E457" s="12">
        <v>0</v>
      </c>
      <c r="F457" s="12">
        <v>2</v>
      </c>
      <c r="G457" s="14"/>
      <c r="H457" s="63" t="s">
        <v>178</v>
      </c>
      <c r="I457" s="14" t="s">
        <v>301</v>
      </c>
      <c r="J457" s="8">
        <v>5</v>
      </c>
      <c r="K457" s="8">
        <v>6</v>
      </c>
      <c r="L457" s="8">
        <v>6</v>
      </c>
      <c r="M457" s="163">
        <v>5</v>
      </c>
      <c r="N457" s="215">
        <v>6</v>
      </c>
      <c r="O457" s="215">
        <v>6</v>
      </c>
      <c r="P457" s="215">
        <v>6</v>
      </c>
      <c r="Q457" s="215">
        <v>6</v>
      </c>
      <c r="R457" s="215">
        <v>6</v>
      </c>
      <c r="S457" s="215">
        <v>6</v>
      </c>
      <c r="T457" s="215">
        <v>6</v>
      </c>
      <c r="U457" s="215">
        <v>6</v>
      </c>
      <c r="V457" s="223">
        <f t="shared" si="156"/>
        <v>52</v>
      </c>
      <c r="W457" s="312">
        <v>2024</v>
      </c>
      <c r="X457" s="40">
        <f aca="true" t="shared" si="158" ref="X457:X519">O457-N457</f>
        <v>0</v>
      </c>
      <c r="Y457" s="40">
        <f aca="true" t="shared" si="159" ref="Y457:Y519">Q457-P457</f>
        <v>0</v>
      </c>
      <c r="Z457" s="40">
        <f aca="true" t="shared" si="160" ref="Z457:Z519">S457-R457</f>
        <v>0</v>
      </c>
    </row>
    <row r="458" spans="1:26" ht="63.75">
      <c r="A458" s="36" t="s">
        <v>272</v>
      </c>
      <c r="B458" s="12">
        <v>1</v>
      </c>
      <c r="C458" s="12">
        <v>5</v>
      </c>
      <c r="D458" s="12">
        <v>1</v>
      </c>
      <c r="E458" s="12">
        <v>0</v>
      </c>
      <c r="F458" s="12">
        <v>2</v>
      </c>
      <c r="G458" s="14"/>
      <c r="H458" s="63" t="s">
        <v>199</v>
      </c>
      <c r="I458" s="14" t="s">
        <v>312</v>
      </c>
      <c r="J458" s="8">
        <v>1</v>
      </c>
      <c r="K458" s="8">
        <v>1</v>
      </c>
      <c r="L458" s="8">
        <v>1</v>
      </c>
      <c r="M458" s="163">
        <v>1</v>
      </c>
      <c r="N458" s="215">
        <v>1</v>
      </c>
      <c r="O458" s="215">
        <v>1</v>
      </c>
      <c r="P458" s="215">
        <v>1</v>
      </c>
      <c r="Q458" s="215">
        <v>1</v>
      </c>
      <c r="R458" s="215">
        <v>1</v>
      </c>
      <c r="S458" s="215">
        <v>1</v>
      </c>
      <c r="T458" s="215">
        <v>1</v>
      </c>
      <c r="U458" s="215">
        <v>1</v>
      </c>
      <c r="V458" s="223">
        <f t="shared" si="156"/>
        <v>9</v>
      </c>
      <c r="W458" s="312">
        <v>2024</v>
      </c>
      <c r="X458" s="40">
        <f t="shared" si="158"/>
        <v>0</v>
      </c>
      <c r="Y458" s="40">
        <f t="shared" si="159"/>
        <v>0</v>
      </c>
      <c r="Z458" s="40">
        <f t="shared" si="160"/>
        <v>0</v>
      </c>
    </row>
    <row r="459" spans="1:26" ht="38.25">
      <c r="A459" s="36" t="s">
        <v>272</v>
      </c>
      <c r="B459" s="12">
        <v>1</v>
      </c>
      <c r="C459" s="12">
        <v>5</v>
      </c>
      <c r="D459" s="12">
        <v>1</v>
      </c>
      <c r="E459" s="12">
        <v>0</v>
      </c>
      <c r="F459" s="12">
        <v>2</v>
      </c>
      <c r="G459" s="14"/>
      <c r="H459" s="63" t="s">
        <v>200</v>
      </c>
      <c r="I459" s="14" t="s">
        <v>312</v>
      </c>
      <c r="J459" s="8">
        <v>2</v>
      </c>
      <c r="K459" s="8">
        <v>2</v>
      </c>
      <c r="L459" s="8">
        <v>2</v>
      </c>
      <c r="M459" s="163">
        <v>2</v>
      </c>
      <c r="N459" s="215">
        <v>2</v>
      </c>
      <c r="O459" s="215">
        <v>2</v>
      </c>
      <c r="P459" s="215">
        <v>2</v>
      </c>
      <c r="Q459" s="215">
        <v>2</v>
      </c>
      <c r="R459" s="215">
        <v>2</v>
      </c>
      <c r="S459" s="215">
        <v>2</v>
      </c>
      <c r="T459" s="215">
        <v>2</v>
      </c>
      <c r="U459" s="215">
        <v>2</v>
      </c>
      <c r="V459" s="223">
        <f t="shared" si="156"/>
        <v>18</v>
      </c>
      <c r="W459" s="312">
        <v>2024</v>
      </c>
      <c r="X459" s="40">
        <f t="shared" si="158"/>
        <v>0</v>
      </c>
      <c r="Y459" s="40">
        <f t="shared" si="159"/>
        <v>0</v>
      </c>
      <c r="Z459" s="40">
        <f t="shared" si="160"/>
        <v>0</v>
      </c>
    </row>
    <row r="460" spans="1:27" s="50" customFormat="1" ht="25.5">
      <c r="A460" s="65" t="s">
        <v>272</v>
      </c>
      <c r="B460" s="11">
        <v>1</v>
      </c>
      <c r="C460" s="11">
        <v>5</v>
      </c>
      <c r="D460" s="11">
        <v>2</v>
      </c>
      <c r="E460" s="11">
        <v>0</v>
      </c>
      <c r="F460" s="11">
        <v>0</v>
      </c>
      <c r="G460" s="11"/>
      <c r="H460" s="49" t="s">
        <v>201</v>
      </c>
      <c r="I460" s="11" t="s">
        <v>273</v>
      </c>
      <c r="J460" s="10">
        <f aca="true" t="shared" si="161" ref="J460:U460">J461</f>
        <v>10</v>
      </c>
      <c r="K460" s="10">
        <f t="shared" si="161"/>
        <v>10</v>
      </c>
      <c r="L460" s="10">
        <f t="shared" si="161"/>
        <v>10</v>
      </c>
      <c r="M460" s="161">
        <f t="shared" si="161"/>
        <v>10</v>
      </c>
      <c r="N460" s="218">
        <f>N461</f>
        <v>10</v>
      </c>
      <c r="O460" s="218">
        <f t="shared" si="161"/>
        <v>10</v>
      </c>
      <c r="P460" s="218">
        <f>P461</f>
        <v>10</v>
      </c>
      <c r="Q460" s="218">
        <f t="shared" si="161"/>
        <v>10</v>
      </c>
      <c r="R460" s="218">
        <f>R461</f>
        <v>10</v>
      </c>
      <c r="S460" s="218">
        <f t="shared" si="161"/>
        <v>10</v>
      </c>
      <c r="T460" s="218">
        <f t="shared" si="161"/>
        <v>10</v>
      </c>
      <c r="U460" s="218">
        <f t="shared" si="161"/>
        <v>10</v>
      </c>
      <c r="V460" s="218">
        <f t="shared" si="156"/>
        <v>90</v>
      </c>
      <c r="W460" s="306">
        <v>2024</v>
      </c>
      <c r="X460" s="40">
        <f t="shared" si="158"/>
        <v>0</v>
      </c>
      <c r="Y460" s="40">
        <f t="shared" si="159"/>
        <v>0</v>
      </c>
      <c r="Z460" s="40">
        <f t="shared" si="160"/>
        <v>0</v>
      </c>
      <c r="AA460" s="37"/>
    </row>
    <row r="461" spans="1:27" s="50" customFormat="1" ht="12.75">
      <c r="A461" s="36" t="s">
        <v>272</v>
      </c>
      <c r="B461" s="12">
        <v>1</v>
      </c>
      <c r="C461" s="12">
        <v>5</v>
      </c>
      <c r="D461" s="12">
        <v>2</v>
      </c>
      <c r="E461" s="12">
        <v>0</v>
      </c>
      <c r="F461" s="12">
        <v>0</v>
      </c>
      <c r="G461" s="12">
        <v>3</v>
      </c>
      <c r="H461" s="42" t="s">
        <v>274</v>
      </c>
      <c r="I461" s="12" t="s">
        <v>273</v>
      </c>
      <c r="J461" s="5">
        <f aca="true" t="shared" si="162" ref="J461:O461">J468</f>
        <v>10</v>
      </c>
      <c r="K461" s="5">
        <f t="shared" si="162"/>
        <v>10</v>
      </c>
      <c r="L461" s="5">
        <f t="shared" si="162"/>
        <v>10</v>
      </c>
      <c r="M461" s="160">
        <f t="shared" si="162"/>
        <v>10</v>
      </c>
      <c r="N461" s="214">
        <f>N468</f>
        <v>10</v>
      </c>
      <c r="O461" s="214">
        <f t="shared" si="162"/>
        <v>10</v>
      </c>
      <c r="P461" s="214">
        <v>10</v>
      </c>
      <c r="Q461" s="214">
        <v>10</v>
      </c>
      <c r="R461" s="214">
        <f>R468</f>
        <v>10</v>
      </c>
      <c r="S461" s="214">
        <f>S468</f>
        <v>10</v>
      </c>
      <c r="T461" s="214">
        <f>T468</f>
        <v>10</v>
      </c>
      <c r="U461" s="214">
        <f>U468</f>
        <v>10</v>
      </c>
      <c r="V461" s="217">
        <f t="shared" si="156"/>
        <v>90</v>
      </c>
      <c r="W461" s="324">
        <v>2024</v>
      </c>
      <c r="X461" s="40">
        <f t="shared" si="158"/>
        <v>0</v>
      </c>
      <c r="Y461" s="40">
        <f t="shared" si="159"/>
        <v>0</v>
      </c>
      <c r="Z461" s="40">
        <f t="shared" si="160"/>
        <v>0</v>
      </c>
      <c r="AA461" s="37"/>
    </row>
    <row r="462" spans="1:26" ht="51">
      <c r="A462" s="36" t="s">
        <v>272</v>
      </c>
      <c r="B462" s="12">
        <v>1</v>
      </c>
      <c r="C462" s="12">
        <v>5</v>
      </c>
      <c r="D462" s="12">
        <v>2</v>
      </c>
      <c r="E462" s="12">
        <v>0</v>
      </c>
      <c r="F462" s="12">
        <v>0</v>
      </c>
      <c r="G462" s="14"/>
      <c r="H462" s="63" t="s">
        <v>202</v>
      </c>
      <c r="I462" s="14" t="s">
        <v>278</v>
      </c>
      <c r="J462" s="14">
        <v>65.2</v>
      </c>
      <c r="K462" s="14">
        <v>76.1</v>
      </c>
      <c r="L462" s="14">
        <v>100</v>
      </c>
      <c r="M462" s="181">
        <v>100</v>
      </c>
      <c r="N462" s="231">
        <v>100</v>
      </c>
      <c r="O462" s="231">
        <v>100</v>
      </c>
      <c r="P462" s="243">
        <v>100</v>
      </c>
      <c r="Q462" s="243">
        <v>100</v>
      </c>
      <c r="R462" s="243">
        <v>100</v>
      </c>
      <c r="S462" s="243">
        <v>100</v>
      </c>
      <c r="T462" s="243">
        <v>100</v>
      </c>
      <c r="U462" s="243">
        <v>100</v>
      </c>
      <c r="V462" s="221">
        <v>100</v>
      </c>
      <c r="W462" s="312">
        <v>2024</v>
      </c>
      <c r="X462" s="40">
        <f t="shared" si="158"/>
        <v>0</v>
      </c>
      <c r="Y462" s="40">
        <f t="shared" si="159"/>
        <v>0</v>
      </c>
      <c r="Z462" s="40">
        <f t="shared" si="160"/>
        <v>0</v>
      </c>
    </row>
    <row r="463" spans="1:26" ht="38.25">
      <c r="A463" s="36" t="s">
        <v>272</v>
      </c>
      <c r="B463" s="12">
        <v>1</v>
      </c>
      <c r="C463" s="12">
        <v>5</v>
      </c>
      <c r="D463" s="12">
        <v>2</v>
      </c>
      <c r="E463" s="12">
        <v>0</v>
      </c>
      <c r="F463" s="12">
        <v>0</v>
      </c>
      <c r="G463" s="14"/>
      <c r="H463" s="63" t="s">
        <v>72</v>
      </c>
      <c r="I463" s="14" t="s">
        <v>312</v>
      </c>
      <c r="J463" s="8">
        <v>189</v>
      </c>
      <c r="K463" s="8">
        <v>733</v>
      </c>
      <c r="L463" s="8">
        <v>1449</v>
      </c>
      <c r="M463" s="152">
        <v>1817</v>
      </c>
      <c r="N463" s="224">
        <v>1820</v>
      </c>
      <c r="O463" s="224">
        <v>1820</v>
      </c>
      <c r="P463" s="224">
        <v>1850</v>
      </c>
      <c r="Q463" s="224">
        <v>1850</v>
      </c>
      <c r="R463" s="224">
        <v>1850</v>
      </c>
      <c r="S463" s="224">
        <v>1850</v>
      </c>
      <c r="T463" s="224">
        <v>1850</v>
      </c>
      <c r="U463" s="224">
        <v>1850</v>
      </c>
      <c r="V463" s="223">
        <f>J463+K463+L463+M463+O463+Q463+S463+T463+U463</f>
        <v>13408</v>
      </c>
      <c r="W463" s="312">
        <v>2024</v>
      </c>
      <c r="X463" s="40">
        <f t="shared" si="158"/>
        <v>0</v>
      </c>
      <c r="Y463" s="40">
        <f t="shared" si="159"/>
        <v>0</v>
      </c>
      <c r="Z463" s="40">
        <f t="shared" si="160"/>
        <v>0</v>
      </c>
    </row>
    <row r="464" spans="1:26" ht="51">
      <c r="A464" s="51" t="s">
        <v>272</v>
      </c>
      <c r="B464" s="17">
        <v>1</v>
      </c>
      <c r="C464" s="17">
        <v>5</v>
      </c>
      <c r="D464" s="17">
        <v>2</v>
      </c>
      <c r="E464" s="17">
        <v>0</v>
      </c>
      <c r="F464" s="17">
        <v>1</v>
      </c>
      <c r="G464" s="20"/>
      <c r="H464" s="52" t="s">
        <v>28</v>
      </c>
      <c r="I464" s="20" t="s">
        <v>297</v>
      </c>
      <c r="J464" s="23" t="s">
        <v>298</v>
      </c>
      <c r="K464" s="23" t="s">
        <v>298</v>
      </c>
      <c r="L464" s="23" t="s">
        <v>298</v>
      </c>
      <c r="M464" s="145" t="s">
        <v>298</v>
      </c>
      <c r="N464" s="230" t="s">
        <v>298</v>
      </c>
      <c r="O464" s="230" t="s">
        <v>298</v>
      </c>
      <c r="P464" s="230" t="s">
        <v>298</v>
      </c>
      <c r="Q464" s="230" t="s">
        <v>298</v>
      </c>
      <c r="R464" s="230" t="s">
        <v>298</v>
      </c>
      <c r="S464" s="230" t="s">
        <v>298</v>
      </c>
      <c r="T464" s="230" t="s">
        <v>298</v>
      </c>
      <c r="U464" s="230" t="s">
        <v>298</v>
      </c>
      <c r="V464" s="230" t="s">
        <v>298</v>
      </c>
      <c r="W464" s="307">
        <v>2024</v>
      </c>
      <c r="X464" s="40"/>
      <c r="Y464" s="40"/>
      <c r="Z464" s="40"/>
    </row>
    <row r="465" spans="1:26" ht="38.25">
      <c r="A465" s="36" t="s">
        <v>272</v>
      </c>
      <c r="B465" s="12">
        <v>1</v>
      </c>
      <c r="C465" s="12">
        <v>5</v>
      </c>
      <c r="D465" s="12">
        <v>2</v>
      </c>
      <c r="E465" s="12">
        <v>0</v>
      </c>
      <c r="F465" s="12">
        <v>1</v>
      </c>
      <c r="G465" s="14"/>
      <c r="H465" s="63" t="s">
        <v>203</v>
      </c>
      <c r="I465" s="14" t="s">
        <v>312</v>
      </c>
      <c r="J465" s="8">
        <v>7000</v>
      </c>
      <c r="K465" s="8">
        <v>7500</v>
      </c>
      <c r="L465" s="8">
        <v>0</v>
      </c>
      <c r="M465" s="163">
        <v>0</v>
      </c>
      <c r="N465" s="215">
        <v>0</v>
      </c>
      <c r="O465" s="215">
        <v>0</v>
      </c>
      <c r="P465" s="215">
        <v>0</v>
      </c>
      <c r="Q465" s="215">
        <v>0</v>
      </c>
      <c r="R465" s="215">
        <v>0</v>
      </c>
      <c r="S465" s="215">
        <v>0</v>
      </c>
      <c r="T465" s="215">
        <v>0</v>
      </c>
      <c r="U465" s="215">
        <v>0</v>
      </c>
      <c r="V465" s="223">
        <f aca="true" t="shared" si="163" ref="V465:V474">J465+K465+L465+M465+O465+Q465+S465+T465+U465</f>
        <v>14500</v>
      </c>
      <c r="W465" s="312">
        <v>2017</v>
      </c>
      <c r="X465" s="40">
        <f t="shared" si="158"/>
        <v>0</v>
      </c>
      <c r="Y465" s="40">
        <f t="shared" si="159"/>
        <v>0</v>
      </c>
      <c r="Z465" s="40">
        <f t="shared" si="160"/>
        <v>0</v>
      </c>
    </row>
    <row r="466" spans="1:26" ht="51">
      <c r="A466" s="36" t="s">
        <v>272</v>
      </c>
      <c r="B466" s="12">
        <v>1</v>
      </c>
      <c r="C466" s="12">
        <v>5</v>
      </c>
      <c r="D466" s="12">
        <v>2</v>
      </c>
      <c r="E466" s="12">
        <v>0</v>
      </c>
      <c r="F466" s="12">
        <v>1</v>
      </c>
      <c r="G466" s="14"/>
      <c r="H466" s="63" t="s">
        <v>196</v>
      </c>
      <c r="I466" s="14" t="s">
        <v>312</v>
      </c>
      <c r="J466" s="8">
        <v>0</v>
      </c>
      <c r="K466" s="8">
        <v>0</v>
      </c>
      <c r="L466" s="8">
        <v>8</v>
      </c>
      <c r="M466" s="163">
        <v>6</v>
      </c>
      <c r="N466" s="215">
        <v>8</v>
      </c>
      <c r="O466" s="215">
        <v>8</v>
      </c>
      <c r="P466" s="215">
        <v>8</v>
      </c>
      <c r="Q466" s="215">
        <v>8</v>
      </c>
      <c r="R466" s="215">
        <v>8</v>
      </c>
      <c r="S466" s="215">
        <v>8</v>
      </c>
      <c r="T466" s="215">
        <v>8</v>
      </c>
      <c r="U466" s="215">
        <v>8</v>
      </c>
      <c r="V466" s="223">
        <f t="shared" si="163"/>
        <v>54</v>
      </c>
      <c r="W466" s="312">
        <v>2024</v>
      </c>
      <c r="X466" s="40">
        <f t="shared" si="158"/>
        <v>0</v>
      </c>
      <c r="Y466" s="40">
        <f t="shared" si="159"/>
        <v>0</v>
      </c>
      <c r="Z466" s="40">
        <f t="shared" si="160"/>
        <v>0</v>
      </c>
    </row>
    <row r="467" spans="1:27" s="50" customFormat="1" ht="38.25">
      <c r="A467" s="51" t="s">
        <v>272</v>
      </c>
      <c r="B467" s="17">
        <v>1</v>
      </c>
      <c r="C467" s="17">
        <v>5</v>
      </c>
      <c r="D467" s="17">
        <v>2</v>
      </c>
      <c r="E467" s="17">
        <v>0</v>
      </c>
      <c r="F467" s="17">
        <v>2</v>
      </c>
      <c r="G467" s="17">
        <v>3</v>
      </c>
      <c r="H467" s="53" t="s">
        <v>124</v>
      </c>
      <c r="I467" s="17" t="s">
        <v>273</v>
      </c>
      <c r="J467" s="7">
        <f aca="true" t="shared" si="164" ref="J467:U467">J468</f>
        <v>10</v>
      </c>
      <c r="K467" s="7">
        <f t="shared" si="164"/>
        <v>10</v>
      </c>
      <c r="L467" s="7">
        <f t="shared" si="164"/>
        <v>10</v>
      </c>
      <c r="M467" s="148">
        <f t="shared" si="164"/>
        <v>10</v>
      </c>
      <c r="N467" s="216">
        <f>N468</f>
        <v>10</v>
      </c>
      <c r="O467" s="216">
        <f t="shared" si="164"/>
        <v>10</v>
      </c>
      <c r="P467" s="216">
        <f>P468</f>
        <v>10</v>
      </c>
      <c r="Q467" s="216">
        <f t="shared" si="164"/>
        <v>10</v>
      </c>
      <c r="R467" s="213">
        <f>R468</f>
        <v>10</v>
      </c>
      <c r="S467" s="213">
        <f t="shared" si="164"/>
        <v>10</v>
      </c>
      <c r="T467" s="213">
        <f t="shared" si="164"/>
        <v>10</v>
      </c>
      <c r="U467" s="213">
        <f t="shared" si="164"/>
        <v>10</v>
      </c>
      <c r="V467" s="216">
        <f t="shared" si="163"/>
        <v>90</v>
      </c>
      <c r="W467" s="308">
        <v>2024</v>
      </c>
      <c r="X467" s="40">
        <f t="shared" si="158"/>
        <v>0</v>
      </c>
      <c r="Y467" s="40">
        <f t="shared" si="159"/>
        <v>0</v>
      </c>
      <c r="Z467" s="40">
        <f t="shared" si="160"/>
        <v>0</v>
      </c>
      <c r="AA467" s="37"/>
    </row>
    <row r="468" spans="1:27" s="50" customFormat="1" ht="12.75">
      <c r="A468" s="36" t="s">
        <v>272</v>
      </c>
      <c r="B468" s="12">
        <v>1</v>
      </c>
      <c r="C468" s="12">
        <v>5</v>
      </c>
      <c r="D468" s="12">
        <v>2</v>
      </c>
      <c r="E468" s="12">
        <v>0</v>
      </c>
      <c r="F468" s="12">
        <v>2</v>
      </c>
      <c r="G468" s="12">
        <v>3</v>
      </c>
      <c r="H468" s="42" t="s">
        <v>274</v>
      </c>
      <c r="I468" s="12" t="s">
        <v>273</v>
      </c>
      <c r="J468" s="5">
        <v>10</v>
      </c>
      <c r="K468" s="5">
        <v>10</v>
      </c>
      <c r="L468" s="5">
        <v>10</v>
      </c>
      <c r="M468" s="160">
        <v>10</v>
      </c>
      <c r="N468" s="214">
        <v>10</v>
      </c>
      <c r="O468" s="214">
        <v>10</v>
      </c>
      <c r="P468" s="214">
        <v>10</v>
      </c>
      <c r="Q468" s="214">
        <v>10</v>
      </c>
      <c r="R468" s="214">
        <v>10</v>
      </c>
      <c r="S468" s="214">
        <v>10</v>
      </c>
      <c r="T468" s="214">
        <v>10</v>
      </c>
      <c r="U468" s="214">
        <v>10</v>
      </c>
      <c r="V468" s="217">
        <f t="shared" si="163"/>
        <v>90</v>
      </c>
      <c r="W468" s="311">
        <v>2024</v>
      </c>
      <c r="X468" s="40">
        <f t="shared" si="158"/>
        <v>0</v>
      </c>
      <c r="Y468" s="40">
        <f t="shared" si="159"/>
        <v>0</v>
      </c>
      <c r="Z468" s="40">
        <f t="shared" si="160"/>
        <v>0</v>
      </c>
      <c r="AA468" s="37"/>
    </row>
    <row r="469" spans="1:26" ht="38.25">
      <c r="A469" s="36" t="s">
        <v>272</v>
      </c>
      <c r="B469" s="12">
        <v>1</v>
      </c>
      <c r="C469" s="12">
        <v>5</v>
      </c>
      <c r="D469" s="12">
        <v>2</v>
      </c>
      <c r="E469" s="12">
        <v>0</v>
      </c>
      <c r="F469" s="12">
        <v>2</v>
      </c>
      <c r="G469" s="14"/>
      <c r="H469" s="63" t="s">
        <v>64</v>
      </c>
      <c r="I469" s="14" t="s">
        <v>312</v>
      </c>
      <c r="J469" s="8">
        <v>1</v>
      </c>
      <c r="K469" s="8">
        <v>1</v>
      </c>
      <c r="L469" s="8">
        <v>0</v>
      </c>
      <c r="M469" s="163">
        <v>0</v>
      </c>
      <c r="N469" s="215">
        <v>0</v>
      </c>
      <c r="O469" s="215">
        <v>0</v>
      </c>
      <c r="P469" s="215">
        <v>0</v>
      </c>
      <c r="Q469" s="215">
        <v>0</v>
      </c>
      <c r="R469" s="215">
        <v>0</v>
      </c>
      <c r="S469" s="215">
        <v>0</v>
      </c>
      <c r="T469" s="215">
        <v>0</v>
      </c>
      <c r="U469" s="215">
        <v>0</v>
      </c>
      <c r="V469" s="223">
        <f t="shared" si="163"/>
        <v>2</v>
      </c>
      <c r="W469" s="312">
        <v>2017</v>
      </c>
      <c r="X469" s="40">
        <f t="shared" si="158"/>
        <v>0</v>
      </c>
      <c r="Y469" s="40">
        <f t="shared" si="159"/>
        <v>0</v>
      </c>
      <c r="Z469" s="40">
        <f t="shared" si="160"/>
        <v>0</v>
      </c>
    </row>
    <row r="470" spans="1:26" ht="76.5">
      <c r="A470" s="36" t="s">
        <v>272</v>
      </c>
      <c r="B470" s="12">
        <v>1</v>
      </c>
      <c r="C470" s="12">
        <v>5</v>
      </c>
      <c r="D470" s="12">
        <v>2</v>
      </c>
      <c r="E470" s="12">
        <v>0</v>
      </c>
      <c r="F470" s="12">
        <v>2</v>
      </c>
      <c r="G470" s="14"/>
      <c r="H470" s="63" t="s">
        <v>65</v>
      </c>
      <c r="I470" s="14" t="s">
        <v>312</v>
      </c>
      <c r="J470" s="8">
        <v>1</v>
      </c>
      <c r="K470" s="8">
        <v>1</v>
      </c>
      <c r="L470" s="8">
        <v>1</v>
      </c>
      <c r="M470" s="163">
        <v>1</v>
      </c>
      <c r="N470" s="215">
        <v>1</v>
      </c>
      <c r="O470" s="215">
        <v>1</v>
      </c>
      <c r="P470" s="215">
        <v>1</v>
      </c>
      <c r="Q470" s="215">
        <v>1</v>
      </c>
      <c r="R470" s="215">
        <v>1</v>
      </c>
      <c r="S470" s="215">
        <v>1</v>
      </c>
      <c r="T470" s="215">
        <v>1</v>
      </c>
      <c r="U470" s="215">
        <v>1</v>
      </c>
      <c r="V470" s="223">
        <f t="shared" si="163"/>
        <v>9</v>
      </c>
      <c r="W470" s="312">
        <v>2024</v>
      </c>
      <c r="X470" s="40">
        <f t="shared" si="158"/>
        <v>0</v>
      </c>
      <c r="Y470" s="40">
        <f t="shared" si="159"/>
        <v>0</v>
      </c>
      <c r="Z470" s="40">
        <f t="shared" si="160"/>
        <v>0</v>
      </c>
    </row>
    <row r="471" spans="1:26" ht="38.25">
      <c r="A471" s="36" t="s">
        <v>272</v>
      </c>
      <c r="B471" s="12">
        <v>1</v>
      </c>
      <c r="C471" s="12">
        <v>5</v>
      </c>
      <c r="D471" s="12">
        <v>2</v>
      </c>
      <c r="E471" s="12">
        <v>0</v>
      </c>
      <c r="F471" s="12">
        <v>2</v>
      </c>
      <c r="G471" s="14"/>
      <c r="H471" s="63" t="s">
        <v>195</v>
      </c>
      <c r="I471" s="14" t="s">
        <v>312</v>
      </c>
      <c r="J471" s="8">
        <v>0</v>
      </c>
      <c r="K471" s="8">
        <v>0</v>
      </c>
      <c r="L471" s="8">
        <v>7630</v>
      </c>
      <c r="M471" s="152">
        <v>14680</v>
      </c>
      <c r="N471" s="224">
        <v>14700</v>
      </c>
      <c r="O471" s="224">
        <v>14700</v>
      </c>
      <c r="P471" s="224">
        <v>14720</v>
      </c>
      <c r="Q471" s="224">
        <v>14720</v>
      </c>
      <c r="R471" s="224">
        <v>14720</v>
      </c>
      <c r="S471" s="224">
        <v>14720</v>
      </c>
      <c r="T471" s="224">
        <v>14720</v>
      </c>
      <c r="U471" s="224">
        <v>14720</v>
      </c>
      <c r="V471" s="223">
        <f t="shared" si="163"/>
        <v>95890</v>
      </c>
      <c r="W471" s="312">
        <v>2024</v>
      </c>
      <c r="X471" s="40">
        <f t="shared" si="158"/>
        <v>0</v>
      </c>
      <c r="Y471" s="40">
        <f t="shared" si="159"/>
        <v>0</v>
      </c>
      <c r="Z471" s="40">
        <f t="shared" si="160"/>
        <v>0</v>
      </c>
    </row>
    <row r="472" spans="1:27" s="50" customFormat="1" ht="38.25">
      <c r="A472" s="65" t="s">
        <v>272</v>
      </c>
      <c r="B472" s="11">
        <v>1</v>
      </c>
      <c r="C472" s="11">
        <v>5</v>
      </c>
      <c r="D472" s="11">
        <v>3</v>
      </c>
      <c r="E472" s="11">
        <v>0</v>
      </c>
      <c r="F472" s="11">
        <v>0</v>
      </c>
      <c r="G472" s="11"/>
      <c r="H472" s="49" t="s">
        <v>204</v>
      </c>
      <c r="I472" s="11" t="s">
        <v>273</v>
      </c>
      <c r="J472" s="10">
        <f aca="true" t="shared" si="165" ref="J472:U472">J473+J474</f>
        <v>59735.7</v>
      </c>
      <c r="K472" s="10">
        <f t="shared" si="165"/>
        <v>90116.3</v>
      </c>
      <c r="L472" s="10">
        <f t="shared" si="165"/>
        <v>41321.8</v>
      </c>
      <c r="M472" s="161">
        <f t="shared" si="165"/>
        <v>43597.4</v>
      </c>
      <c r="N472" s="218">
        <f>N473+N474</f>
        <v>11163.3</v>
      </c>
      <c r="O472" s="218">
        <f t="shared" si="165"/>
        <v>11375.6</v>
      </c>
      <c r="P472" s="218">
        <f>P473+P474</f>
        <v>11163.3</v>
      </c>
      <c r="Q472" s="218">
        <f t="shared" si="165"/>
        <v>11421</v>
      </c>
      <c r="R472" s="218">
        <f>R473+R474</f>
        <v>11163.3</v>
      </c>
      <c r="S472" s="218">
        <f t="shared" si="165"/>
        <v>11468.3</v>
      </c>
      <c r="T472" s="218">
        <f t="shared" si="165"/>
        <v>11163.3</v>
      </c>
      <c r="U472" s="218">
        <f t="shared" si="165"/>
        <v>11163.3</v>
      </c>
      <c r="V472" s="218">
        <f t="shared" si="163"/>
        <v>291362.7</v>
      </c>
      <c r="W472" s="306">
        <v>2024</v>
      </c>
      <c r="X472" s="40">
        <f t="shared" si="158"/>
        <v>212.3</v>
      </c>
      <c r="Y472" s="40">
        <f t="shared" si="159"/>
        <v>257.7</v>
      </c>
      <c r="Z472" s="40">
        <f t="shared" si="160"/>
        <v>305</v>
      </c>
      <c r="AA472" s="37"/>
    </row>
    <row r="473" spans="1:27" s="50" customFormat="1" ht="12.75">
      <c r="A473" s="36" t="s">
        <v>272</v>
      </c>
      <c r="B473" s="12">
        <v>1</v>
      </c>
      <c r="C473" s="12">
        <v>5</v>
      </c>
      <c r="D473" s="12">
        <v>3</v>
      </c>
      <c r="E473" s="12">
        <v>0</v>
      </c>
      <c r="F473" s="12">
        <v>0</v>
      </c>
      <c r="G473" s="12">
        <v>3</v>
      </c>
      <c r="H473" s="42" t="s">
        <v>274</v>
      </c>
      <c r="I473" s="12" t="s">
        <v>273</v>
      </c>
      <c r="J473" s="5">
        <f aca="true" t="shared" si="166" ref="J473:U473">J487+J494+J499</f>
        <v>58792.5</v>
      </c>
      <c r="K473" s="5">
        <f t="shared" si="166"/>
        <v>89157.3</v>
      </c>
      <c r="L473" s="5">
        <f t="shared" si="166"/>
        <v>40155.2</v>
      </c>
      <c r="M473" s="160">
        <f>M487+M494+M499</f>
        <v>42482.1</v>
      </c>
      <c r="N473" s="214">
        <f>N487+N494+N499</f>
        <v>10240</v>
      </c>
      <c r="O473" s="214">
        <f t="shared" si="166"/>
        <v>10240</v>
      </c>
      <c r="P473" s="214">
        <f>P487+P494+P499</f>
        <v>10240</v>
      </c>
      <c r="Q473" s="214">
        <f t="shared" si="166"/>
        <v>10240</v>
      </c>
      <c r="R473" s="214">
        <f>R487+R494+R499</f>
        <v>10240</v>
      </c>
      <c r="S473" s="214">
        <f t="shared" si="166"/>
        <v>10240</v>
      </c>
      <c r="T473" s="214">
        <f t="shared" si="166"/>
        <v>10240</v>
      </c>
      <c r="U473" s="214">
        <f t="shared" si="166"/>
        <v>10240</v>
      </c>
      <c r="V473" s="217">
        <f t="shared" si="163"/>
        <v>281787.1</v>
      </c>
      <c r="W473" s="311">
        <v>2024</v>
      </c>
      <c r="X473" s="40">
        <f t="shared" si="158"/>
        <v>0</v>
      </c>
      <c r="Y473" s="40">
        <f t="shared" si="159"/>
        <v>0</v>
      </c>
      <c r="Z473" s="40">
        <f t="shared" si="160"/>
        <v>0</v>
      </c>
      <c r="AA473" s="37"/>
    </row>
    <row r="474" spans="1:27" s="50" customFormat="1" ht="12.75">
      <c r="A474" s="36" t="s">
        <v>272</v>
      </c>
      <c r="B474" s="12">
        <v>1</v>
      </c>
      <c r="C474" s="12">
        <v>5</v>
      </c>
      <c r="D474" s="12">
        <v>3</v>
      </c>
      <c r="E474" s="12">
        <v>0</v>
      </c>
      <c r="F474" s="12">
        <v>0</v>
      </c>
      <c r="G474" s="12">
        <v>2</v>
      </c>
      <c r="H474" s="42" t="s">
        <v>275</v>
      </c>
      <c r="I474" s="12" t="s">
        <v>273</v>
      </c>
      <c r="J474" s="5">
        <f aca="true" t="shared" si="167" ref="J474:U474">J482</f>
        <v>943.2</v>
      </c>
      <c r="K474" s="5">
        <f t="shared" si="167"/>
        <v>959</v>
      </c>
      <c r="L474" s="5">
        <f t="shared" si="167"/>
        <v>1166.6</v>
      </c>
      <c r="M474" s="160">
        <f t="shared" si="167"/>
        <v>1115.3</v>
      </c>
      <c r="N474" s="214">
        <f>N482</f>
        <v>923.3</v>
      </c>
      <c r="O474" s="214">
        <f t="shared" si="167"/>
        <v>1135.6</v>
      </c>
      <c r="P474" s="214">
        <f>P482</f>
        <v>923.3</v>
      </c>
      <c r="Q474" s="214">
        <f t="shared" si="167"/>
        <v>1181</v>
      </c>
      <c r="R474" s="214">
        <f>R482</f>
        <v>923.3</v>
      </c>
      <c r="S474" s="214">
        <f t="shared" si="167"/>
        <v>1228.3</v>
      </c>
      <c r="T474" s="214">
        <f t="shared" si="167"/>
        <v>923.3</v>
      </c>
      <c r="U474" s="214">
        <f t="shared" si="167"/>
        <v>923.3</v>
      </c>
      <c r="V474" s="217">
        <f t="shared" si="163"/>
        <v>9575.6</v>
      </c>
      <c r="W474" s="311">
        <v>2024</v>
      </c>
      <c r="X474" s="40">
        <f t="shared" si="158"/>
        <v>212.3</v>
      </c>
      <c r="Y474" s="40">
        <f t="shared" si="159"/>
        <v>257.7</v>
      </c>
      <c r="Z474" s="40">
        <f t="shared" si="160"/>
        <v>305</v>
      </c>
      <c r="AA474" s="37"/>
    </row>
    <row r="475" spans="1:26" ht="76.5">
      <c r="A475" s="36" t="s">
        <v>272</v>
      </c>
      <c r="B475" s="12">
        <v>1</v>
      </c>
      <c r="C475" s="12">
        <v>5</v>
      </c>
      <c r="D475" s="12">
        <v>3</v>
      </c>
      <c r="E475" s="12">
        <v>0</v>
      </c>
      <c r="F475" s="12">
        <v>0</v>
      </c>
      <c r="G475" s="14"/>
      <c r="H475" s="63" t="s">
        <v>205</v>
      </c>
      <c r="I475" s="14" t="s">
        <v>139</v>
      </c>
      <c r="J475" s="9">
        <v>100</v>
      </c>
      <c r="K475" s="9">
        <v>100</v>
      </c>
      <c r="L475" s="9">
        <v>100</v>
      </c>
      <c r="M475" s="151">
        <v>100</v>
      </c>
      <c r="N475" s="231">
        <v>100</v>
      </c>
      <c r="O475" s="231">
        <v>100</v>
      </c>
      <c r="P475" s="231">
        <v>100</v>
      </c>
      <c r="Q475" s="231">
        <v>100</v>
      </c>
      <c r="R475" s="231">
        <v>100</v>
      </c>
      <c r="S475" s="231">
        <v>100</v>
      </c>
      <c r="T475" s="231">
        <v>100</v>
      </c>
      <c r="U475" s="231">
        <v>100</v>
      </c>
      <c r="V475" s="231">
        <v>100</v>
      </c>
      <c r="W475" s="312">
        <v>2024</v>
      </c>
      <c r="X475" s="40">
        <f t="shared" si="158"/>
        <v>0</v>
      </c>
      <c r="Y475" s="40">
        <f t="shared" si="159"/>
        <v>0</v>
      </c>
      <c r="Z475" s="40">
        <f t="shared" si="160"/>
        <v>0</v>
      </c>
    </row>
    <row r="476" spans="1:26" ht="89.25">
      <c r="A476" s="36" t="s">
        <v>272</v>
      </c>
      <c r="B476" s="12">
        <v>1</v>
      </c>
      <c r="C476" s="12">
        <v>5</v>
      </c>
      <c r="D476" s="12">
        <v>3</v>
      </c>
      <c r="E476" s="12">
        <v>0</v>
      </c>
      <c r="F476" s="12">
        <v>0</v>
      </c>
      <c r="G476" s="14"/>
      <c r="H476" s="63" t="s">
        <v>206</v>
      </c>
      <c r="I476" s="14" t="s">
        <v>139</v>
      </c>
      <c r="J476" s="9">
        <v>100</v>
      </c>
      <c r="K476" s="9">
        <v>100</v>
      </c>
      <c r="L476" s="9">
        <v>100</v>
      </c>
      <c r="M476" s="151">
        <v>100</v>
      </c>
      <c r="N476" s="231">
        <v>100</v>
      </c>
      <c r="O476" s="231">
        <v>100</v>
      </c>
      <c r="P476" s="231">
        <v>100</v>
      </c>
      <c r="Q476" s="231">
        <v>100</v>
      </c>
      <c r="R476" s="231">
        <v>100</v>
      </c>
      <c r="S476" s="231">
        <v>100</v>
      </c>
      <c r="T476" s="231">
        <v>100</v>
      </c>
      <c r="U476" s="231">
        <v>100</v>
      </c>
      <c r="V476" s="231">
        <v>100</v>
      </c>
      <c r="W476" s="312">
        <v>2024</v>
      </c>
      <c r="X476" s="40">
        <f t="shared" si="158"/>
        <v>0</v>
      </c>
      <c r="Y476" s="40">
        <f t="shared" si="159"/>
        <v>0</v>
      </c>
      <c r="Z476" s="40">
        <f t="shared" si="160"/>
        <v>0</v>
      </c>
    </row>
    <row r="477" spans="1:26" ht="89.25">
      <c r="A477" s="36" t="s">
        <v>272</v>
      </c>
      <c r="B477" s="12">
        <v>1</v>
      </c>
      <c r="C477" s="12">
        <v>5</v>
      </c>
      <c r="D477" s="12">
        <v>3</v>
      </c>
      <c r="E477" s="12">
        <v>0</v>
      </c>
      <c r="F477" s="12">
        <v>0</v>
      </c>
      <c r="G477" s="14"/>
      <c r="H477" s="63" t="s">
        <v>207</v>
      </c>
      <c r="I477" s="14" t="s">
        <v>139</v>
      </c>
      <c r="J477" s="9">
        <v>90</v>
      </c>
      <c r="K477" s="9">
        <v>100</v>
      </c>
      <c r="L477" s="9">
        <v>95.9</v>
      </c>
      <c r="M477" s="151">
        <v>96</v>
      </c>
      <c r="N477" s="231">
        <v>100</v>
      </c>
      <c r="O477" s="231">
        <v>100</v>
      </c>
      <c r="P477" s="231">
        <v>100</v>
      </c>
      <c r="Q477" s="231">
        <v>100</v>
      </c>
      <c r="R477" s="231">
        <v>100</v>
      </c>
      <c r="S477" s="231">
        <v>100</v>
      </c>
      <c r="T477" s="231">
        <v>100</v>
      </c>
      <c r="U477" s="231">
        <v>100</v>
      </c>
      <c r="V477" s="231">
        <v>100</v>
      </c>
      <c r="W477" s="312">
        <v>2024</v>
      </c>
      <c r="X477" s="40">
        <f t="shared" si="158"/>
        <v>0</v>
      </c>
      <c r="Y477" s="40">
        <f t="shared" si="159"/>
        <v>0</v>
      </c>
      <c r="Z477" s="40">
        <f t="shared" si="160"/>
        <v>0</v>
      </c>
    </row>
    <row r="478" spans="1:26" ht="76.5">
      <c r="A478" s="36" t="s">
        <v>272</v>
      </c>
      <c r="B478" s="12">
        <v>1</v>
      </c>
      <c r="C478" s="12">
        <v>5</v>
      </c>
      <c r="D478" s="12">
        <v>3</v>
      </c>
      <c r="E478" s="12">
        <v>0</v>
      </c>
      <c r="F478" s="12">
        <v>0</v>
      </c>
      <c r="G478" s="14"/>
      <c r="H478" s="63" t="s">
        <v>209</v>
      </c>
      <c r="I478" s="14" t="s">
        <v>139</v>
      </c>
      <c r="J478" s="9">
        <v>100</v>
      </c>
      <c r="K478" s="9">
        <v>100</v>
      </c>
      <c r="L478" s="9">
        <v>100</v>
      </c>
      <c r="M478" s="151">
        <v>100</v>
      </c>
      <c r="N478" s="231">
        <v>100</v>
      </c>
      <c r="O478" s="231">
        <v>100</v>
      </c>
      <c r="P478" s="231">
        <v>100</v>
      </c>
      <c r="Q478" s="231">
        <v>100</v>
      </c>
      <c r="R478" s="231">
        <v>100</v>
      </c>
      <c r="S478" s="231">
        <v>100</v>
      </c>
      <c r="T478" s="231">
        <v>100</v>
      </c>
      <c r="U478" s="231">
        <v>100</v>
      </c>
      <c r="V478" s="231">
        <v>100</v>
      </c>
      <c r="W478" s="312">
        <v>2024</v>
      </c>
      <c r="X478" s="40">
        <f t="shared" si="158"/>
        <v>0</v>
      </c>
      <c r="Y478" s="40">
        <f t="shared" si="159"/>
        <v>0</v>
      </c>
      <c r="Z478" s="40">
        <f t="shared" si="160"/>
        <v>0</v>
      </c>
    </row>
    <row r="479" spans="1:26" ht="38.25">
      <c r="A479" s="51" t="s">
        <v>272</v>
      </c>
      <c r="B479" s="17">
        <v>1</v>
      </c>
      <c r="C479" s="17">
        <v>5</v>
      </c>
      <c r="D479" s="17">
        <v>3</v>
      </c>
      <c r="E479" s="17">
        <v>0</v>
      </c>
      <c r="F479" s="17">
        <v>1</v>
      </c>
      <c r="G479" s="20"/>
      <c r="H479" s="52" t="s">
        <v>62</v>
      </c>
      <c r="I479" s="20" t="s">
        <v>297</v>
      </c>
      <c r="J479" s="23" t="s">
        <v>298</v>
      </c>
      <c r="K479" s="23" t="s">
        <v>298</v>
      </c>
      <c r="L479" s="23" t="s">
        <v>298</v>
      </c>
      <c r="M479" s="145" t="s">
        <v>298</v>
      </c>
      <c r="N479" s="230" t="s">
        <v>298</v>
      </c>
      <c r="O479" s="230" t="s">
        <v>298</v>
      </c>
      <c r="P479" s="230" t="s">
        <v>298</v>
      </c>
      <c r="Q479" s="230" t="s">
        <v>298</v>
      </c>
      <c r="R479" s="230" t="s">
        <v>298</v>
      </c>
      <c r="S479" s="230" t="s">
        <v>298</v>
      </c>
      <c r="T479" s="230" t="s">
        <v>298</v>
      </c>
      <c r="U479" s="230" t="s">
        <v>298</v>
      </c>
      <c r="V479" s="230" t="s">
        <v>298</v>
      </c>
      <c r="W479" s="307">
        <v>2024</v>
      </c>
      <c r="X479" s="40"/>
      <c r="Y479" s="40"/>
      <c r="Z479" s="40"/>
    </row>
    <row r="480" spans="1:26" ht="51">
      <c r="A480" s="36" t="s">
        <v>272</v>
      </c>
      <c r="B480" s="12">
        <v>1</v>
      </c>
      <c r="C480" s="12">
        <v>5</v>
      </c>
      <c r="D480" s="12">
        <v>3</v>
      </c>
      <c r="E480" s="12">
        <v>0</v>
      </c>
      <c r="F480" s="12">
        <v>1</v>
      </c>
      <c r="G480" s="14"/>
      <c r="H480" s="63" t="s">
        <v>228</v>
      </c>
      <c r="I480" s="14" t="s">
        <v>301</v>
      </c>
      <c r="J480" s="8">
        <v>25</v>
      </c>
      <c r="K480" s="8">
        <v>26</v>
      </c>
      <c r="L480" s="8">
        <v>27</v>
      </c>
      <c r="M480" s="163">
        <v>28</v>
      </c>
      <c r="N480" s="215">
        <v>28</v>
      </c>
      <c r="O480" s="215">
        <v>28</v>
      </c>
      <c r="P480" s="215">
        <v>28</v>
      </c>
      <c r="Q480" s="215">
        <v>28</v>
      </c>
      <c r="R480" s="215">
        <v>28</v>
      </c>
      <c r="S480" s="215">
        <v>28</v>
      </c>
      <c r="T480" s="215">
        <v>29</v>
      </c>
      <c r="U480" s="215">
        <v>30</v>
      </c>
      <c r="V480" s="223">
        <f>J480+K480+L480+M480+O480+Q480+S480+T480+U480</f>
        <v>249</v>
      </c>
      <c r="W480" s="312">
        <v>2024</v>
      </c>
      <c r="X480" s="40">
        <f t="shared" si="158"/>
        <v>0</v>
      </c>
      <c r="Y480" s="40">
        <f t="shared" si="159"/>
        <v>0</v>
      </c>
      <c r="Z480" s="40">
        <f t="shared" si="160"/>
        <v>0</v>
      </c>
    </row>
    <row r="481" spans="1:27" s="50" customFormat="1" ht="76.5">
      <c r="A481" s="51" t="s">
        <v>272</v>
      </c>
      <c r="B481" s="17">
        <v>1</v>
      </c>
      <c r="C481" s="17">
        <v>5</v>
      </c>
      <c r="D481" s="17">
        <v>3</v>
      </c>
      <c r="E481" s="17">
        <v>0</v>
      </c>
      <c r="F481" s="17">
        <v>2</v>
      </c>
      <c r="G481" s="17"/>
      <c r="H481" s="53" t="s">
        <v>125</v>
      </c>
      <c r="I481" s="17" t="s">
        <v>273</v>
      </c>
      <c r="J481" s="7">
        <f aca="true" t="shared" si="168" ref="J481:U481">J482</f>
        <v>943.2</v>
      </c>
      <c r="K481" s="7">
        <f t="shared" si="168"/>
        <v>959</v>
      </c>
      <c r="L481" s="7">
        <f t="shared" si="168"/>
        <v>1166.6</v>
      </c>
      <c r="M481" s="148">
        <f t="shared" si="168"/>
        <v>1115.3</v>
      </c>
      <c r="N481" s="216">
        <f>N482</f>
        <v>923.3</v>
      </c>
      <c r="O481" s="216">
        <f t="shared" si="168"/>
        <v>1135.6</v>
      </c>
      <c r="P481" s="216">
        <f>P482</f>
        <v>923.3</v>
      </c>
      <c r="Q481" s="216">
        <f t="shared" si="168"/>
        <v>1181</v>
      </c>
      <c r="R481" s="213">
        <f>R482</f>
        <v>923.3</v>
      </c>
      <c r="S481" s="213">
        <f t="shared" si="168"/>
        <v>1228.3</v>
      </c>
      <c r="T481" s="213">
        <f t="shared" si="168"/>
        <v>923.3</v>
      </c>
      <c r="U481" s="213">
        <f t="shared" si="168"/>
        <v>923.3</v>
      </c>
      <c r="V481" s="216">
        <f>J481+K481+L481+M481+O481+Q481+S481+T481+U481</f>
        <v>9575.6</v>
      </c>
      <c r="W481" s="308">
        <v>2024</v>
      </c>
      <c r="X481" s="40">
        <f t="shared" si="158"/>
        <v>212.3</v>
      </c>
      <c r="Y481" s="40">
        <f t="shared" si="159"/>
        <v>257.7</v>
      </c>
      <c r="Z481" s="40">
        <f t="shared" si="160"/>
        <v>305</v>
      </c>
      <c r="AA481" s="37"/>
    </row>
    <row r="482" spans="1:27" s="50" customFormat="1" ht="12.75">
      <c r="A482" s="36" t="s">
        <v>272</v>
      </c>
      <c r="B482" s="12">
        <v>1</v>
      </c>
      <c r="C482" s="12">
        <v>5</v>
      </c>
      <c r="D482" s="12">
        <v>3</v>
      </c>
      <c r="E482" s="12">
        <v>0</v>
      </c>
      <c r="F482" s="12">
        <v>2</v>
      </c>
      <c r="G482" s="12">
        <v>2</v>
      </c>
      <c r="H482" s="42" t="s">
        <v>275</v>
      </c>
      <c r="I482" s="12" t="s">
        <v>273</v>
      </c>
      <c r="J482" s="5">
        <f>J483+J484</f>
        <v>943.2</v>
      </c>
      <c r="K482" s="5">
        <v>959</v>
      </c>
      <c r="L482" s="5">
        <v>1166.6</v>
      </c>
      <c r="M482" s="160">
        <v>1115.3</v>
      </c>
      <c r="N482" s="214">
        <v>923.3</v>
      </c>
      <c r="O482" s="214">
        <v>1135.6</v>
      </c>
      <c r="P482" s="214">
        <v>923.3</v>
      </c>
      <c r="Q482" s="214">
        <v>1181</v>
      </c>
      <c r="R482" s="214">
        <v>923.3</v>
      </c>
      <c r="S482" s="214">
        <v>1228.3</v>
      </c>
      <c r="T482" s="214">
        <v>923.3</v>
      </c>
      <c r="U482" s="214">
        <v>923.3</v>
      </c>
      <c r="V482" s="217">
        <f>J482+K482+L482+M482+O482+Q482+S482+T482+U482</f>
        <v>9575.6</v>
      </c>
      <c r="W482" s="311">
        <v>2024</v>
      </c>
      <c r="X482" s="40">
        <f t="shared" si="158"/>
        <v>212.3</v>
      </c>
      <c r="Y482" s="40">
        <f t="shared" si="159"/>
        <v>257.7</v>
      </c>
      <c r="Z482" s="40">
        <f t="shared" si="160"/>
        <v>305</v>
      </c>
      <c r="AA482" s="37"/>
    </row>
    <row r="483" spans="1:26" ht="114.75">
      <c r="A483" s="36" t="s">
        <v>272</v>
      </c>
      <c r="B483" s="12">
        <v>1</v>
      </c>
      <c r="C483" s="12">
        <v>5</v>
      </c>
      <c r="D483" s="12">
        <v>3</v>
      </c>
      <c r="E483" s="12">
        <v>0</v>
      </c>
      <c r="F483" s="12">
        <v>2</v>
      </c>
      <c r="G483" s="83"/>
      <c r="H483" s="58" t="s">
        <v>192</v>
      </c>
      <c r="I483" s="14" t="s">
        <v>273</v>
      </c>
      <c r="J483" s="13">
        <f>356+170+250+101+65</f>
        <v>942</v>
      </c>
      <c r="K483" s="13">
        <v>0</v>
      </c>
      <c r="L483" s="13">
        <v>0</v>
      </c>
      <c r="M483" s="159">
        <v>0</v>
      </c>
      <c r="N483" s="242">
        <v>0</v>
      </c>
      <c r="O483" s="242">
        <v>0</v>
      </c>
      <c r="P483" s="236">
        <v>0</v>
      </c>
      <c r="Q483" s="242">
        <v>0</v>
      </c>
      <c r="R483" s="236">
        <v>0</v>
      </c>
      <c r="S483" s="242">
        <v>0</v>
      </c>
      <c r="T483" s="242">
        <v>0</v>
      </c>
      <c r="U483" s="242">
        <v>0</v>
      </c>
      <c r="V483" s="309">
        <v>942</v>
      </c>
      <c r="W483" s="312">
        <v>2016</v>
      </c>
      <c r="X483" s="40">
        <f t="shared" si="158"/>
        <v>0</v>
      </c>
      <c r="Y483" s="40">
        <f t="shared" si="159"/>
        <v>0</v>
      </c>
      <c r="Z483" s="40">
        <f t="shared" si="160"/>
        <v>0</v>
      </c>
    </row>
    <row r="484" spans="1:26" ht="114.75">
      <c r="A484" s="36" t="s">
        <v>272</v>
      </c>
      <c r="B484" s="12">
        <v>1</v>
      </c>
      <c r="C484" s="12">
        <v>5</v>
      </c>
      <c r="D484" s="12">
        <v>3</v>
      </c>
      <c r="E484" s="12">
        <v>0</v>
      </c>
      <c r="F484" s="12">
        <v>2</v>
      </c>
      <c r="G484" s="83"/>
      <c r="H484" s="58" t="s">
        <v>193</v>
      </c>
      <c r="I484" s="14" t="s">
        <v>273</v>
      </c>
      <c r="J484" s="13">
        <v>1.2</v>
      </c>
      <c r="K484" s="13">
        <v>0</v>
      </c>
      <c r="L484" s="13">
        <v>0</v>
      </c>
      <c r="M484" s="159">
        <v>0</v>
      </c>
      <c r="N484" s="242">
        <v>0</v>
      </c>
      <c r="O484" s="242">
        <v>0</v>
      </c>
      <c r="P484" s="236">
        <v>0</v>
      </c>
      <c r="Q484" s="242">
        <v>0</v>
      </c>
      <c r="R484" s="236">
        <v>0</v>
      </c>
      <c r="S484" s="242">
        <v>0</v>
      </c>
      <c r="T484" s="242">
        <v>0</v>
      </c>
      <c r="U484" s="242">
        <v>0</v>
      </c>
      <c r="V484" s="309">
        <v>1.2</v>
      </c>
      <c r="W484" s="312">
        <v>2016</v>
      </c>
      <c r="X484" s="40">
        <f t="shared" si="158"/>
        <v>0</v>
      </c>
      <c r="Y484" s="40">
        <f t="shared" si="159"/>
        <v>0</v>
      </c>
      <c r="Z484" s="40">
        <f t="shared" si="160"/>
        <v>0</v>
      </c>
    </row>
    <row r="485" spans="1:26" ht="89.25">
      <c r="A485" s="36" t="s">
        <v>272</v>
      </c>
      <c r="B485" s="12">
        <v>1</v>
      </c>
      <c r="C485" s="12">
        <v>5</v>
      </c>
      <c r="D485" s="12">
        <v>3</v>
      </c>
      <c r="E485" s="12">
        <v>0</v>
      </c>
      <c r="F485" s="12">
        <v>2</v>
      </c>
      <c r="G485" s="83"/>
      <c r="H485" s="58" t="s">
        <v>308</v>
      </c>
      <c r="I485" s="14" t="s">
        <v>301</v>
      </c>
      <c r="J485" s="71">
        <v>0</v>
      </c>
      <c r="K485" s="71">
        <v>30</v>
      </c>
      <c r="L485" s="71">
        <v>32</v>
      </c>
      <c r="M485" s="165">
        <v>32</v>
      </c>
      <c r="N485" s="212">
        <v>32</v>
      </c>
      <c r="O485" s="212">
        <v>32</v>
      </c>
      <c r="P485" s="212">
        <v>32</v>
      </c>
      <c r="Q485" s="212">
        <v>32</v>
      </c>
      <c r="R485" s="212">
        <v>32</v>
      </c>
      <c r="S485" s="212">
        <v>32</v>
      </c>
      <c r="T485" s="212">
        <v>32</v>
      </c>
      <c r="U485" s="212">
        <v>32</v>
      </c>
      <c r="V485" s="253">
        <v>32</v>
      </c>
      <c r="W485" s="253">
        <v>2024</v>
      </c>
      <c r="X485" s="40">
        <f t="shared" si="158"/>
        <v>0</v>
      </c>
      <c r="Y485" s="40">
        <f t="shared" si="159"/>
        <v>0</v>
      </c>
      <c r="Z485" s="40">
        <f t="shared" si="160"/>
        <v>0</v>
      </c>
    </row>
    <row r="486" spans="1:27" s="50" customFormat="1" ht="76.5">
      <c r="A486" s="51" t="s">
        <v>272</v>
      </c>
      <c r="B486" s="17">
        <v>1</v>
      </c>
      <c r="C486" s="17">
        <v>5</v>
      </c>
      <c r="D486" s="17">
        <v>3</v>
      </c>
      <c r="E486" s="17">
        <v>0</v>
      </c>
      <c r="F486" s="17">
        <v>3</v>
      </c>
      <c r="G486" s="17">
        <v>3</v>
      </c>
      <c r="H486" s="53" t="s">
        <v>126</v>
      </c>
      <c r="I486" s="17" t="s">
        <v>273</v>
      </c>
      <c r="J486" s="7">
        <f aca="true" t="shared" si="169" ref="J486:U486">J487</f>
        <v>35052.5</v>
      </c>
      <c r="K486" s="7">
        <f t="shared" si="169"/>
        <v>33138.7</v>
      </c>
      <c r="L486" s="7">
        <f t="shared" si="169"/>
        <v>39846.7</v>
      </c>
      <c r="M486" s="148">
        <f t="shared" si="169"/>
        <v>42075.3</v>
      </c>
      <c r="N486" s="216">
        <f>N487</f>
        <v>10000</v>
      </c>
      <c r="O486" s="216">
        <f t="shared" si="169"/>
        <v>10000</v>
      </c>
      <c r="P486" s="216">
        <f>P487</f>
        <v>10000</v>
      </c>
      <c r="Q486" s="216">
        <f t="shared" si="169"/>
        <v>10000</v>
      </c>
      <c r="R486" s="213">
        <f>R487</f>
        <v>10000</v>
      </c>
      <c r="S486" s="213">
        <f t="shared" si="169"/>
        <v>10000</v>
      </c>
      <c r="T486" s="213">
        <f t="shared" si="169"/>
        <v>10000</v>
      </c>
      <c r="U486" s="213">
        <f t="shared" si="169"/>
        <v>10000</v>
      </c>
      <c r="V486" s="216">
        <f aca="true" t="shared" si="170" ref="V486:V502">J486+K486+L486+M486+O486+Q486+S486+T486+U486</f>
        <v>200113.2</v>
      </c>
      <c r="W486" s="308">
        <v>2024</v>
      </c>
      <c r="X486" s="40">
        <f t="shared" si="158"/>
        <v>0</v>
      </c>
      <c r="Y486" s="40">
        <f t="shared" si="159"/>
        <v>0</v>
      </c>
      <c r="Z486" s="40">
        <f t="shared" si="160"/>
        <v>0</v>
      </c>
      <c r="AA486" s="37"/>
    </row>
    <row r="487" spans="1:27" s="50" customFormat="1" ht="12.75">
      <c r="A487" s="36" t="s">
        <v>272</v>
      </c>
      <c r="B487" s="12">
        <v>1</v>
      </c>
      <c r="C487" s="12">
        <v>5</v>
      </c>
      <c r="D487" s="12">
        <v>3</v>
      </c>
      <c r="E487" s="12">
        <v>0</v>
      </c>
      <c r="F487" s="12">
        <v>3</v>
      </c>
      <c r="G487" s="12">
        <v>3</v>
      </c>
      <c r="H487" s="42" t="s">
        <v>274</v>
      </c>
      <c r="I487" s="12" t="s">
        <v>273</v>
      </c>
      <c r="J487" s="5">
        <f>J488+J489</f>
        <v>35052.5</v>
      </c>
      <c r="K487" s="5">
        <v>33138.7</v>
      </c>
      <c r="L487" s="5">
        <v>39846.7</v>
      </c>
      <c r="M487" s="160">
        <v>42075.3</v>
      </c>
      <c r="N487" s="214">
        <v>10000</v>
      </c>
      <c r="O487" s="214">
        <v>10000</v>
      </c>
      <c r="P487" s="214">
        <v>10000</v>
      </c>
      <c r="Q487" s="214">
        <v>10000</v>
      </c>
      <c r="R487" s="214">
        <v>10000</v>
      </c>
      <c r="S487" s="214">
        <v>10000</v>
      </c>
      <c r="T487" s="214">
        <v>10000</v>
      </c>
      <c r="U487" s="214">
        <v>10000</v>
      </c>
      <c r="V487" s="217">
        <f t="shared" si="170"/>
        <v>200113.2</v>
      </c>
      <c r="W487" s="311">
        <v>2024</v>
      </c>
      <c r="X487" s="40">
        <f t="shared" si="158"/>
        <v>0</v>
      </c>
      <c r="Y487" s="40">
        <f t="shared" si="159"/>
        <v>0</v>
      </c>
      <c r="Z487" s="40">
        <f t="shared" si="160"/>
        <v>0</v>
      </c>
      <c r="AA487" s="37"/>
    </row>
    <row r="488" spans="1:26" ht="114.75">
      <c r="A488" s="36" t="s">
        <v>272</v>
      </c>
      <c r="B488" s="12">
        <v>1</v>
      </c>
      <c r="C488" s="12">
        <v>5</v>
      </c>
      <c r="D488" s="12">
        <v>3</v>
      </c>
      <c r="E488" s="12">
        <v>0</v>
      </c>
      <c r="F488" s="12">
        <v>3</v>
      </c>
      <c r="G488" s="14"/>
      <c r="H488" s="63" t="s">
        <v>197</v>
      </c>
      <c r="I488" s="14" t="s">
        <v>210</v>
      </c>
      <c r="J488" s="9">
        <f>1417.6+6277+5723.4+6004.6</f>
        <v>19422.6</v>
      </c>
      <c r="K488" s="9">
        <v>0</v>
      </c>
      <c r="L488" s="9">
        <v>0</v>
      </c>
      <c r="M488" s="141">
        <v>0</v>
      </c>
      <c r="N488" s="210">
        <v>0</v>
      </c>
      <c r="O488" s="210">
        <v>0</v>
      </c>
      <c r="P488" s="210">
        <v>0</v>
      </c>
      <c r="Q488" s="210">
        <v>0</v>
      </c>
      <c r="R488" s="210">
        <v>0</v>
      </c>
      <c r="S488" s="210">
        <v>0</v>
      </c>
      <c r="T488" s="210">
        <v>0</v>
      </c>
      <c r="U488" s="210">
        <v>0</v>
      </c>
      <c r="V488" s="221">
        <f t="shared" si="170"/>
        <v>19422.6</v>
      </c>
      <c r="W488" s="312">
        <v>2016</v>
      </c>
      <c r="X488" s="40">
        <f t="shared" si="158"/>
        <v>0</v>
      </c>
      <c r="Y488" s="40">
        <f t="shared" si="159"/>
        <v>0</v>
      </c>
      <c r="Z488" s="40">
        <f t="shared" si="160"/>
        <v>0</v>
      </c>
    </row>
    <row r="489" spans="1:26" ht="127.5">
      <c r="A489" s="36" t="s">
        <v>272</v>
      </c>
      <c r="B489" s="12">
        <v>1</v>
      </c>
      <c r="C489" s="12">
        <v>5</v>
      </c>
      <c r="D489" s="12">
        <v>3</v>
      </c>
      <c r="E489" s="12">
        <v>0</v>
      </c>
      <c r="F489" s="12">
        <v>3</v>
      </c>
      <c r="G489" s="14"/>
      <c r="H489" s="63" t="s">
        <v>73</v>
      </c>
      <c r="I489" s="14" t="s">
        <v>210</v>
      </c>
      <c r="J489" s="9">
        <f>1199.2+5979.6+4276.7+4174.4</f>
        <v>15629.9</v>
      </c>
      <c r="K489" s="9">
        <v>0</v>
      </c>
      <c r="L489" s="9">
        <v>0</v>
      </c>
      <c r="M489" s="141">
        <v>0</v>
      </c>
      <c r="N489" s="210">
        <v>0</v>
      </c>
      <c r="O489" s="210">
        <v>0</v>
      </c>
      <c r="P489" s="210">
        <v>0</v>
      </c>
      <c r="Q489" s="210">
        <v>0</v>
      </c>
      <c r="R489" s="210">
        <v>0</v>
      </c>
      <c r="S489" s="210">
        <v>0</v>
      </c>
      <c r="T489" s="210">
        <v>0</v>
      </c>
      <c r="U489" s="210">
        <v>0</v>
      </c>
      <c r="V489" s="221">
        <f t="shared" si="170"/>
        <v>15629.9</v>
      </c>
      <c r="W489" s="312">
        <v>2016</v>
      </c>
      <c r="X489" s="40">
        <f t="shared" si="158"/>
        <v>0</v>
      </c>
      <c r="Y489" s="40">
        <f t="shared" si="159"/>
        <v>0</v>
      </c>
      <c r="Z489" s="40">
        <f t="shared" si="160"/>
        <v>0</v>
      </c>
    </row>
    <row r="490" spans="1:26" ht="76.5">
      <c r="A490" s="36" t="s">
        <v>272</v>
      </c>
      <c r="B490" s="12">
        <v>1</v>
      </c>
      <c r="C490" s="12">
        <v>5</v>
      </c>
      <c r="D490" s="12">
        <v>3</v>
      </c>
      <c r="E490" s="12">
        <v>0</v>
      </c>
      <c r="F490" s="12">
        <v>3</v>
      </c>
      <c r="G490" s="14"/>
      <c r="H490" s="63" t="s">
        <v>165</v>
      </c>
      <c r="I490" s="14" t="s">
        <v>301</v>
      </c>
      <c r="J490" s="8">
        <v>0</v>
      </c>
      <c r="K490" s="8">
        <v>1506</v>
      </c>
      <c r="L490" s="8">
        <v>1570</v>
      </c>
      <c r="M490" s="163">
        <v>1560</v>
      </c>
      <c r="N490" s="215">
        <v>1762</v>
      </c>
      <c r="O490" s="215">
        <v>1762</v>
      </c>
      <c r="P490" s="215">
        <v>454</v>
      </c>
      <c r="Q490" s="215">
        <v>454</v>
      </c>
      <c r="R490" s="215">
        <v>454</v>
      </c>
      <c r="S490" s="215">
        <v>454</v>
      </c>
      <c r="T490" s="215">
        <v>454</v>
      </c>
      <c r="U490" s="215">
        <v>454</v>
      </c>
      <c r="V490" s="223">
        <f t="shared" si="170"/>
        <v>8214</v>
      </c>
      <c r="W490" s="312">
        <v>2024</v>
      </c>
      <c r="X490" s="40">
        <f t="shared" si="158"/>
        <v>0</v>
      </c>
      <c r="Y490" s="40">
        <f t="shared" si="159"/>
        <v>0</v>
      </c>
      <c r="Z490" s="40">
        <f t="shared" si="160"/>
        <v>0</v>
      </c>
    </row>
    <row r="491" spans="1:26" ht="76.5">
      <c r="A491" s="36" t="s">
        <v>272</v>
      </c>
      <c r="B491" s="12">
        <v>1</v>
      </c>
      <c r="C491" s="12">
        <v>5</v>
      </c>
      <c r="D491" s="12">
        <v>3</v>
      </c>
      <c r="E491" s="12">
        <v>0</v>
      </c>
      <c r="F491" s="12">
        <v>3</v>
      </c>
      <c r="G491" s="14"/>
      <c r="H491" s="63" t="s">
        <v>309</v>
      </c>
      <c r="I491" s="14" t="s">
        <v>301</v>
      </c>
      <c r="J491" s="8">
        <v>0</v>
      </c>
      <c r="K491" s="8">
        <v>982</v>
      </c>
      <c r="L491" s="8">
        <v>990</v>
      </c>
      <c r="M491" s="163">
        <v>900</v>
      </c>
      <c r="N491" s="215">
        <v>1169</v>
      </c>
      <c r="O491" s="215">
        <v>1169</v>
      </c>
      <c r="P491" s="215">
        <v>296</v>
      </c>
      <c r="Q491" s="215">
        <v>296</v>
      </c>
      <c r="R491" s="215">
        <v>296</v>
      </c>
      <c r="S491" s="215">
        <v>296</v>
      </c>
      <c r="T491" s="215">
        <v>296</v>
      </c>
      <c r="U491" s="215">
        <v>296</v>
      </c>
      <c r="V491" s="223">
        <f t="shared" si="170"/>
        <v>5225</v>
      </c>
      <c r="W491" s="312">
        <v>2024</v>
      </c>
      <c r="X491" s="40">
        <f t="shared" si="158"/>
        <v>0</v>
      </c>
      <c r="Y491" s="40">
        <f t="shared" si="159"/>
        <v>0</v>
      </c>
      <c r="Z491" s="40">
        <f t="shared" si="160"/>
        <v>0</v>
      </c>
    </row>
    <row r="492" spans="1:26" ht="76.5">
      <c r="A492" s="36" t="s">
        <v>272</v>
      </c>
      <c r="B492" s="12">
        <v>1</v>
      </c>
      <c r="C492" s="12">
        <v>5</v>
      </c>
      <c r="D492" s="12">
        <v>3</v>
      </c>
      <c r="E492" s="12">
        <v>0</v>
      </c>
      <c r="F492" s="12">
        <v>3</v>
      </c>
      <c r="G492" s="14"/>
      <c r="H492" s="63" t="s">
        <v>310</v>
      </c>
      <c r="I492" s="14" t="s">
        <v>301</v>
      </c>
      <c r="J492" s="8">
        <v>0</v>
      </c>
      <c r="K492" s="8">
        <v>176</v>
      </c>
      <c r="L492" s="8">
        <v>175</v>
      </c>
      <c r="M492" s="163">
        <v>156</v>
      </c>
      <c r="N492" s="215">
        <v>246</v>
      </c>
      <c r="O492" s="215">
        <v>246</v>
      </c>
      <c r="P492" s="215">
        <v>53</v>
      </c>
      <c r="Q492" s="215">
        <v>53</v>
      </c>
      <c r="R492" s="215">
        <v>53</v>
      </c>
      <c r="S492" s="215">
        <v>53</v>
      </c>
      <c r="T492" s="215">
        <v>53</v>
      </c>
      <c r="U492" s="215">
        <v>53</v>
      </c>
      <c r="V492" s="223">
        <f t="shared" si="170"/>
        <v>965</v>
      </c>
      <c r="W492" s="312">
        <v>2024</v>
      </c>
      <c r="X492" s="40">
        <f t="shared" si="158"/>
        <v>0</v>
      </c>
      <c r="Y492" s="40">
        <f t="shared" si="159"/>
        <v>0</v>
      </c>
      <c r="Z492" s="40">
        <f t="shared" si="160"/>
        <v>0</v>
      </c>
    </row>
    <row r="493" spans="1:27" s="50" customFormat="1" ht="51">
      <c r="A493" s="51" t="s">
        <v>272</v>
      </c>
      <c r="B493" s="17">
        <v>1</v>
      </c>
      <c r="C493" s="17">
        <v>5</v>
      </c>
      <c r="D493" s="17">
        <v>3</v>
      </c>
      <c r="E493" s="17">
        <v>0</v>
      </c>
      <c r="F493" s="17">
        <v>4</v>
      </c>
      <c r="G493" s="17"/>
      <c r="H493" s="53" t="s">
        <v>127</v>
      </c>
      <c r="I493" s="17" t="s">
        <v>273</v>
      </c>
      <c r="J493" s="7">
        <f aca="true" t="shared" si="171" ref="J493:U493">J494</f>
        <v>227.7</v>
      </c>
      <c r="K493" s="7">
        <f t="shared" si="171"/>
        <v>240</v>
      </c>
      <c r="L493" s="7">
        <f t="shared" si="171"/>
        <v>308.5</v>
      </c>
      <c r="M493" s="148">
        <f t="shared" si="171"/>
        <v>406.8</v>
      </c>
      <c r="N493" s="216">
        <f>N494</f>
        <v>240</v>
      </c>
      <c r="O493" s="216">
        <f t="shared" si="171"/>
        <v>240</v>
      </c>
      <c r="P493" s="216">
        <f>P494</f>
        <v>240</v>
      </c>
      <c r="Q493" s="216">
        <f t="shared" si="171"/>
        <v>240</v>
      </c>
      <c r="R493" s="213">
        <f>R494</f>
        <v>240</v>
      </c>
      <c r="S493" s="213">
        <f t="shared" si="171"/>
        <v>240</v>
      </c>
      <c r="T493" s="213">
        <f t="shared" si="171"/>
        <v>240</v>
      </c>
      <c r="U493" s="213">
        <f t="shared" si="171"/>
        <v>240</v>
      </c>
      <c r="V493" s="216">
        <f t="shared" si="170"/>
        <v>2383</v>
      </c>
      <c r="W493" s="308">
        <v>2024</v>
      </c>
      <c r="X493" s="40">
        <f t="shared" si="158"/>
        <v>0</v>
      </c>
      <c r="Y493" s="40">
        <f t="shared" si="159"/>
        <v>0</v>
      </c>
      <c r="Z493" s="40">
        <f t="shared" si="160"/>
        <v>0</v>
      </c>
      <c r="AA493" s="37"/>
    </row>
    <row r="494" spans="1:27" s="50" customFormat="1" ht="12.75">
      <c r="A494" s="36" t="s">
        <v>272</v>
      </c>
      <c r="B494" s="12">
        <v>1</v>
      </c>
      <c r="C494" s="12">
        <v>5</v>
      </c>
      <c r="D494" s="12">
        <v>3</v>
      </c>
      <c r="E494" s="12">
        <v>0</v>
      </c>
      <c r="F494" s="12">
        <v>4</v>
      </c>
      <c r="G494" s="12">
        <v>3</v>
      </c>
      <c r="H494" s="42" t="s">
        <v>274</v>
      </c>
      <c r="I494" s="12" t="s">
        <v>273</v>
      </c>
      <c r="J494" s="5">
        <f>240+8-20.3</f>
        <v>227.7</v>
      </c>
      <c r="K494" s="5">
        <v>240</v>
      </c>
      <c r="L494" s="5">
        <f>308.4+0.07</f>
        <v>308.5</v>
      </c>
      <c r="M494" s="160">
        <v>406.8</v>
      </c>
      <c r="N494" s="214">
        <v>240</v>
      </c>
      <c r="O494" s="214">
        <v>240</v>
      </c>
      <c r="P494" s="214">
        <v>240</v>
      </c>
      <c r="Q494" s="214">
        <v>240</v>
      </c>
      <c r="R494" s="214">
        <v>240</v>
      </c>
      <c r="S494" s="214">
        <v>240</v>
      </c>
      <c r="T494" s="214">
        <v>240</v>
      </c>
      <c r="U494" s="214">
        <v>240</v>
      </c>
      <c r="V494" s="217">
        <f t="shared" si="170"/>
        <v>2383</v>
      </c>
      <c r="W494" s="311">
        <v>2024</v>
      </c>
      <c r="X494" s="40">
        <f t="shared" si="158"/>
        <v>0</v>
      </c>
      <c r="Y494" s="40">
        <f t="shared" si="159"/>
        <v>0</v>
      </c>
      <c r="Z494" s="40">
        <f t="shared" si="160"/>
        <v>0</v>
      </c>
      <c r="AA494" s="37"/>
    </row>
    <row r="495" spans="1:26" ht="51">
      <c r="A495" s="36" t="s">
        <v>272</v>
      </c>
      <c r="B495" s="12">
        <v>1</v>
      </c>
      <c r="C495" s="12">
        <v>5</v>
      </c>
      <c r="D495" s="12">
        <v>3</v>
      </c>
      <c r="E495" s="12">
        <v>0</v>
      </c>
      <c r="F495" s="12">
        <v>4</v>
      </c>
      <c r="G495" s="12">
        <v>3</v>
      </c>
      <c r="H495" s="63" t="s">
        <v>74</v>
      </c>
      <c r="I495" s="14" t="s">
        <v>312</v>
      </c>
      <c r="J495" s="8">
        <v>38</v>
      </c>
      <c r="K495" s="8">
        <v>42</v>
      </c>
      <c r="L495" s="8">
        <v>26</v>
      </c>
      <c r="M495" s="163">
        <v>29</v>
      </c>
      <c r="N495" s="215">
        <v>44</v>
      </c>
      <c r="O495" s="215">
        <v>44</v>
      </c>
      <c r="P495" s="215">
        <v>44</v>
      </c>
      <c r="Q495" s="215">
        <v>44</v>
      </c>
      <c r="R495" s="215">
        <v>44</v>
      </c>
      <c r="S495" s="215">
        <v>44</v>
      </c>
      <c r="T495" s="215">
        <v>44</v>
      </c>
      <c r="U495" s="215">
        <v>44</v>
      </c>
      <c r="V495" s="223">
        <f t="shared" si="170"/>
        <v>355</v>
      </c>
      <c r="W495" s="312">
        <v>2024</v>
      </c>
      <c r="X495" s="40">
        <f t="shared" si="158"/>
        <v>0</v>
      </c>
      <c r="Y495" s="40">
        <f t="shared" si="159"/>
        <v>0</v>
      </c>
      <c r="Z495" s="40">
        <f t="shared" si="160"/>
        <v>0</v>
      </c>
    </row>
    <row r="496" spans="1:26" ht="63.75">
      <c r="A496" s="36" t="s">
        <v>272</v>
      </c>
      <c r="B496" s="12">
        <v>1</v>
      </c>
      <c r="C496" s="12">
        <v>5</v>
      </c>
      <c r="D496" s="12">
        <v>3</v>
      </c>
      <c r="E496" s="12">
        <v>0</v>
      </c>
      <c r="F496" s="12">
        <v>4</v>
      </c>
      <c r="G496" s="14"/>
      <c r="H496" s="63" t="s">
        <v>211</v>
      </c>
      <c r="I496" s="14" t="s">
        <v>301</v>
      </c>
      <c r="J496" s="8">
        <v>35</v>
      </c>
      <c r="K496" s="8">
        <v>35</v>
      </c>
      <c r="L496" s="8">
        <v>45</v>
      </c>
      <c r="M496" s="163">
        <v>14</v>
      </c>
      <c r="N496" s="215">
        <v>35</v>
      </c>
      <c r="O496" s="215">
        <v>35</v>
      </c>
      <c r="P496" s="215">
        <v>35</v>
      </c>
      <c r="Q496" s="215">
        <v>35</v>
      </c>
      <c r="R496" s="215">
        <v>35</v>
      </c>
      <c r="S496" s="215">
        <v>35</v>
      </c>
      <c r="T496" s="215">
        <v>35</v>
      </c>
      <c r="U496" s="215">
        <v>35</v>
      </c>
      <c r="V496" s="223">
        <f t="shared" si="170"/>
        <v>304</v>
      </c>
      <c r="W496" s="312">
        <v>2024</v>
      </c>
      <c r="X496" s="40">
        <f t="shared" si="158"/>
        <v>0</v>
      </c>
      <c r="Y496" s="40">
        <f t="shared" si="159"/>
        <v>0</v>
      </c>
      <c r="Z496" s="40">
        <f t="shared" si="160"/>
        <v>0</v>
      </c>
    </row>
    <row r="497" spans="1:26" ht="51">
      <c r="A497" s="36" t="s">
        <v>272</v>
      </c>
      <c r="B497" s="12">
        <v>1</v>
      </c>
      <c r="C497" s="12">
        <v>5</v>
      </c>
      <c r="D497" s="12">
        <v>3</v>
      </c>
      <c r="E497" s="12">
        <v>0</v>
      </c>
      <c r="F497" s="12">
        <v>4</v>
      </c>
      <c r="G497" s="14"/>
      <c r="H497" s="63" t="s">
        <v>212</v>
      </c>
      <c r="I497" s="14" t="s">
        <v>301</v>
      </c>
      <c r="J497" s="8">
        <v>150</v>
      </c>
      <c r="K497" s="8">
        <v>150</v>
      </c>
      <c r="L497" s="8">
        <v>155</v>
      </c>
      <c r="M497" s="163">
        <v>155</v>
      </c>
      <c r="N497" s="215">
        <v>155</v>
      </c>
      <c r="O497" s="215">
        <v>155</v>
      </c>
      <c r="P497" s="215">
        <v>150</v>
      </c>
      <c r="Q497" s="215">
        <v>150</v>
      </c>
      <c r="R497" s="215">
        <v>155</v>
      </c>
      <c r="S497" s="215">
        <v>155</v>
      </c>
      <c r="T497" s="215">
        <v>155</v>
      </c>
      <c r="U497" s="215">
        <v>155</v>
      </c>
      <c r="V497" s="223">
        <f t="shared" si="170"/>
        <v>1380</v>
      </c>
      <c r="W497" s="312">
        <v>2024</v>
      </c>
      <c r="X497" s="40">
        <f t="shared" si="158"/>
        <v>0</v>
      </c>
      <c r="Y497" s="40">
        <f t="shared" si="159"/>
        <v>0</v>
      </c>
      <c r="Z497" s="40">
        <f t="shared" si="160"/>
        <v>0</v>
      </c>
    </row>
    <row r="498" spans="1:27" s="50" customFormat="1" ht="63.75">
      <c r="A498" s="51" t="s">
        <v>272</v>
      </c>
      <c r="B498" s="17">
        <v>1</v>
      </c>
      <c r="C498" s="17">
        <v>5</v>
      </c>
      <c r="D498" s="17">
        <v>3</v>
      </c>
      <c r="E498" s="17">
        <v>0</v>
      </c>
      <c r="F498" s="17">
        <v>5</v>
      </c>
      <c r="G498" s="17">
        <v>3</v>
      </c>
      <c r="H498" s="53" t="s">
        <v>128</v>
      </c>
      <c r="I498" s="17" t="s">
        <v>273</v>
      </c>
      <c r="J498" s="7">
        <f>J499</f>
        <v>23512.3</v>
      </c>
      <c r="K498" s="7">
        <f>K499</f>
        <v>55778.6</v>
      </c>
      <c r="L498" s="7">
        <f>L499</f>
        <v>0</v>
      </c>
      <c r="M498" s="148">
        <v>0</v>
      </c>
      <c r="N498" s="216">
        <f>N499</f>
        <v>0</v>
      </c>
      <c r="O498" s="216">
        <f aca="true" t="shared" si="172" ref="O498:U498">O499</f>
        <v>0</v>
      </c>
      <c r="P498" s="216">
        <f>P499</f>
        <v>0</v>
      </c>
      <c r="Q498" s="216">
        <f t="shared" si="172"/>
        <v>0</v>
      </c>
      <c r="R498" s="213">
        <f>R499</f>
        <v>0</v>
      </c>
      <c r="S498" s="213">
        <f t="shared" si="172"/>
        <v>0</v>
      </c>
      <c r="T498" s="213">
        <f t="shared" si="172"/>
        <v>0</v>
      </c>
      <c r="U498" s="213">
        <f t="shared" si="172"/>
        <v>0</v>
      </c>
      <c r="V498" s="216">
        <f t="shared" si="170"/>
        <v>79290.9</v>
      </c>
      <c r="W498" s="308">
        <v>2017</v>
      </c>
      <c r="X498" s="40">
        <f t="shared" si="158"/>
        <v>0</v>
      </c>
      <c r="Y498" s="40">
        <f t="shared" si="159"/>
        <v>0</v>
      </c>
      <c r="Z498" s="40">
        <f t="shared" si="160"/>
        <v>0</v>
      </c>
      <c r="AA498" s="37"/>
    </row>
    <row r="499" spans="1:27" s="50" customFormat="1" ht="12.75">
      <c r="A499" s="36" t="s">
        <v>272</v>
      </c>
      <c r="B499" s="12">
        <v>1</v>
      </c>
      <c r="C499" s="12">
        <v>5</v>
      </c>
      <c r="D499" s="12">
        <v>3</v>
      </c>
      <c r="E499" s="12">
        <v>0</v>
      </c>
      <c r="F499" s="12">
        <v>5</v>
      </c>
      <c r="G499" s="12">
        <v>3</v>
      </c>
      <c r="H499" s="42" t="s">
        <v>274</v>
      </c>
      <c r="I499" s="12" t="s">
        <v>273</v>
      </c>
      <c r="J499" s="5">
        <f>12000+11512.3</f>
        <v>23512.3</v>
      </c>
      <c r="K499" s="5">
        <v>55778.6</v>
      </c>
      <c r="L499" s="5">
        <v>0</v>
      </c>
      <c r="M499" s="160">
        <v>0</v>
      </c>
      <c r="N499" s="214">
        <v>0</v>
      </c>
      <c r="O499" s="214">
        <v>0</v>
      </c>
      <c r="P499" s="214">
        <v>0</v>
      </c>
      <c r="Q499" s="214">
        <v>0</v>
      </c>
      <c r="R499" s="214">
        <v>0</v>
      </c>
      <c r="S499" s="214">
        <v>0</v>
      </c>
      <c r="T499" s="214">
        <v>0</v>
      </c>
      <c r="U499" s="214">
        <v>0</v>
      </c>
      <c r="V499" s="217">
        <f t="shared" si="170"/>
        <v>79290.9</v>
      </c>
      <c r="W499" s="311">
        <v>2017</v>
      </c>
      <c r="X499" s="40">
        <f t="shared" si="158"/>
        <v>0</v>
      </c>
      <c r="Y499" s="40">
        <f t="shared" si="159"/>
        <v>0</v>
      </c>
      <c r="Z499" s="40">
        <f t="shared" si="160"/>
        <v>0</v>
      </c>
      <c r="AA499" s="37"/>
    </row>
    <row r="500" spans="1:26" ht="63.75">
      <c r="A500" s="36" t="s">
        <v>272</v>
      </c>
      <c r="B500" s="12">
        <v>1</v>
      </c>
      <c r="C500" s="12">
        <v>5</v>
      </c>
      <c r="D500" s="12">
        <v>3</v>
      </c>
      <c r="E500" s="12">
        <v>0</v>
      </c>
      <c r="F500" s="12">
        <v>5</v>
      </c>
      <c r="G500" s="14"/>
      <c r="H500" s="63" t="s">
        <v>303</v>
      </c>
      <c r="I500" s="14" t="s">
        <v>301</v>
      </c>
      <c r="J500" s="71">
        <v>745</v>
      </c>
      <c r="K500" s="8">
        <v>1323</v>
      </c>
      <c r="L500" s="8">
        <v>0</v>
      </c>
      <c r="M500" s="165">
        <v>0</v>
      </c>
      <c r="N500" s="212">
        <v>0</v>
      </c>
      <c r="O500" s="212">
        <v>0</v>
      </c>
      <c r="P500" s="212">
        <v>0</v>
      </c>
      <c r="Q500" s="212">
        <v>0</v>
      </c>
      <c r="R500" s="212">
        <v>0</v>
      </c>
      <c r="S500" s="212">
        <v>0</v>
      </c>
      <c r="T500" s="212">
        <v>0</v>
      </c>
      <c r="U500" s="212">
        <v>0</v>
      </c>
      <c r="V500" s="223">
        <f t="shared" si="170"/>
        <v>2068</v>
      </c>
      <c r="W500" s="312">
        <v>2017</v>
      </c>
      <c r="X500" s="40">
        <f t="shared" si="158"/>
        <v>0</v>
      </c>
      <c r="Y500" s="40">
        <f t="shared" si="159"/>
        <v>0</v>
      </c>
      <c r="Z500" s="40">
        <f t="shared" si="160"/>
        <v>0</v>
      </c>
    </row>
    <row r="501" spans="1:27" s="50" customFormat="1" ht="38.25">
      <c r="A501" s="65" t="s">
        <v>272</v>
      </c>
      <c r="B501" s="11">
        <v>1</v>
      </c>
      <c r="C501" s="11">
        <v>5</v>
      </c>
      <c r="D501" s="11">
        <v>4</v>
      </c>
      <c r="E501" s="11">
        <v>0</v>
      </c>
      <c r="F501" s="11">
        <v>0</v>
      </c>
      <c r="G501" s="11"/>
      <c r="H501" s="49" t="s">
        <v>213</v>
      </c>
      <c r="I501" s="11" t="s">
        <v>273</v>
      </c>
      <c r="J501" s="10">
        <f aca="true" t="shared" si="173" ref="J501:O501">J502</f>
        <v>125</v>
      </c>
      <c r="K501" s="10">
        <f t="shared" si="173"/>
        <v>125</v>
      </c>
      <c r="L501" s="10">
        <f t="shared" si="173"/>
        <v>125</v>
      </c>
      <c r="M501" s="161">
        <f t="shared" si="173"/>
        <v>124.5</v>
      </c>
      <c r="N501" s="218">
        <f>N502</f>
        <v>125</v>
      </c>
      <c r="O501" s="218">
        <f t="shared" si="173"/>
        <v>125</v>
      </c>
      <c r="P501" s="218">
        <v>125</v>
      </c>
      <c r="Q501" s="218">
        <v>125</v>
      </c>
      <c r="R501" s="218">
        <f>R502</f>
        <v>125</v>
      </c>
      <c r="S501" s="218">
        <f>S502</f>
        <v>125</v>
      </c>
      <c r="T501" s="218">
        <f>T502</f>
        <v>125</v>
      </c>
      <c r="U501" s="218">
        <f>U502</f>
        <v>125</v>
      </c>
      <c r="V501" s="218">
        <f t="shared" si="170"/>
        <v>1124.5</v>
      </c>
      <c r="W501" s="306">
        <v>2024</v>
      </c>
      <c r="X501" s="40">
        <f t="shared" si="158"/>
        <v>0</v>
      </c>
      <c r="Y501" s="40">
        <f t="shared" si="159"/>
        <v>0</v>
      </c>
      <c r="Z501" s="40">
        <f t="shared" si="160"/>
        <v>0</v>
      </c>
      <c r="AA501" s="37"/>
    </row>
    <row r="502" spans="1:27" s="50" customFormat="1" ht="12.75">
      <c r="A502" s="36" t="s">
        <v>272</v>
      </c>
      <c r="B502" s="12">
        <v>1</v>
      </c>
      <c r="C502" s="12">
        <v>5</v>
      </c>
      <c r="D502" s="12">
        <v>4</v>
      </c>
      <c r="E502" s="12">
        <v>0</v>
      </c>
      <c r="F502" s="12">
        <v>0</v>
      </c>
      <c r="G502" s="12"/>
      <c r="H502" s="42" t="s">
        <v>274</v>
      </c>
      <c r="I502" s="12" t="s">
        <v>273</v>
      </c>
      <c r="J502" s="5">
        <f>J509</f>
        <v>125</v>
      </c>
      <c r="K502" s="5">
        <f>K509</f>
        <v>125</v>
      </c>
      <c r="L502" s="5">
        <f>L509</f>
        <v>125</v>
      </c>
      <c r="M502" s="149">
        <f aca="true" t="shared" si="174" ref="M502:U502">M509</f>
        <v>124.5</v>
      </c>
      <c r="N502" s="217">
        <f>N509</f>
        <v>125</v>
      </c>
      <c r="O502" s="217">
        <f t="shared" si="174"/>
        <v>125</v>
      </c>
      <c r="P502" s="217">
        <f>P509</f>
        <v>125</v>
      </c>
      <c r="Q502" s="217">
        <f t="shared" si="174"/>
        <v>125</v>
      </c>
      <c r="R502" s="217">
        <f>R509</f>
        <v>125</v>
      </c>
      <c r="S502" s="217">
        <f t="shared" si="174"/>
        <v>125</v>
      </c>
      <c r="T502" s="217">
        <f t="shared" si="174"/>
        <v>125</v>
      </c>
      <c r="U502" s="217">
        <f t="shared" si="174"/>
        <v>125</v>
      </c>
      <c r="V502" s="217">
        <f t="shared" si="170"/>
        <v>1124.5</v>
      </c>
      <c r="W502" s="324">
        <v>2024</v>
      </c>
      <c r="X502" s="40">
        <f t="shared" si="158"/>
        <v>0</v>
      </c>
      <c r="Y502" s="40">
        <f t="shared" si="159"/>
        <v>0</v>
      </c>
      <c r="Z502" s="40">
        <f t="shared" si="160"/>
        <v>0</v>
      </c>
      <c r="AA502" s="37"/>
    </row>
    <row r="503" spans="1:26" ht="38.25">
      <c r="A503" s="36" t="s">
        <v>272</v>
      </c>
      <c r="B503" s="12">
        <v>1</v>
      </c>
      <c r="C503" s="12">
        <v>5</v>
      </c>
      <c r="D503" s="12">
        <v>4</v>
      </c>
      <c r="E503" s="12">
        <v>0</v>
      </c>
      <c r="F503" s="12">
        <v>0</v>
      </c>
      <c r="G503" s="12">
        <v>3</v>
      </c>
      <c r="H503" s="63" t="s">
        <v>214</v>
      </c>
      <c r="I503" s="16" t="s">
        <v>278</v>
      </c>
      <c r="J503" s="13">
        <v>70</v>
      </c>
      <c r="K503" s="13">
        <v>79</v>
      </c>
      <c r="L503" s="13">
        <v>78.3</v>
      </c>
      <c r="M503" s="159">
        <v>79</v>
      </c>
      <c r="N503" s="243">
        <v>80.2</v>
      </c>
      <c r="O503" s="243">
        <v>80.2</v>
      </c>
      <c r="P503" s="243">
        <v>80.2</v>
      </c>
      <c r="Q503" s="243">
        <v>80.2</v>
      </c>
      <c r="R503" s="243">
        <v>80.3</v>
      </c>
      <c r="S503" s="243">
        <v>80.3</v>
      </c>
      <c r="T503" s="243">
        <v>80.3</v>
      </c>
      <c r="U503" s="243">
        <v>80.4</v>
      </c>
      <c r="V503" s="309">
        <v>80.4</v>
      </c>
      <c r="W503" s="312">
        <v>2024</v>
      </c>
      <c r="X503" s="40">
        <f t="shared" si="158"/>
        <v>0</v>
      </c>
      <c r="Y503" s="40">
        <f t="shared" si="159"/>
        <v>0</v>
      </c>
      <c r="Z503" s="40">
        <f t="shared" si="160"/>
        <v>0</v>
      </c>
    </row>
    <row r="504" spans="1:26" ht="51">
      <c r="A504" s="36" t="s">
        <v>272</v>
      </c>
      <c r="B504" s="12">
        <v>1</v>
      </c>
      <c r="C504" s="12">
        <v>5</v>
      </c>
      <c r="D504" s="12">
        <v>4</v>
      </c>
      <c r="E504" s="12">
        <v>0</v>
      </c>
      <c r="F504" s="12">
        <v>0</v>
      </c>
      <c r="G504" s="14"/>
      <c r="H504" s="63" t="s">
        <v>215</v>
      </c>
      <c r="I504" s="16" t="s">
        <v>278</v>
      </c>
      <c r="J504" s="13">
        <v>42.6</v>
      </c>
      <c r="K504" s="13">
        <v>100</v>
      </c>
      <c r="L504" s="13">
        <v>100</v>
      </c>
      <c r="M504" s="159">
        <v>100</v>
      </c>
      <c r="N504" s="243">
        <v>100</v>
      </c>
      <c r="O504" s="243">
        <v>100</v>
      </c>
      <c r="P504" s="243">
        <v>100</v>
      </c>
      <c r="Q504" s="243">
        <v>100</v>
      </c>
      <c r="R504" s="243">
        <v>100</v>
      </c>
      <c r="S504" s="243">
        <v>100</v>
      </c>
      <c r="T504" s="243">
        <v>100</v>
      </c>
      <c r="U504" s="243">
        <v>100</v>
      </c>
      <c r="V504" s="309">
        <v>100</v>
      </c>
      <c r="W504" s="312">
        <v>2024</v>
      </c>
      <c r="X504" s="40">
        <f t="shared" si="158"/>
        <v>0</v>
      </c>
      <c r="Y504" s="40">
        <f t="shared" si="159"/>
        <v>0</v>
      </c>
      <c r="Z504" s="40">
        <f t="shared" si="160"/>
        <v>0</v>
      </c>
    </row>
    <row r="505" spans="1:26" ht="63.75">
      <c r="A505" s="51" t="s">
        <v>272</v>
      </c>
      <c r="B505" s="17">
        <v>1</v>
      </c>
      <c r="C505" s="17">
        <v>5</v>
      </c>
      <c r="D505" s="17">
        <v>4</v>
      </c>
      <c r="E505" s="17">
        <v>0</v>
      </c>
      <c r="F505" s="17">
        <v>1</v>
      </c>
      <c r="G505" s="20"/>
      <c r="H505" s="52" t="s">
        <v>29</v>
      </c>
      <c r="I505" s="20" t="s">
        <v>297</v>
      </c>
      <c r="J505" s="23" t="s">
        <v>298</v>
      </c>
      <c r="K505" s="23" t="s">
        <v>298</v>
      </c>
      <c r="L505" s="7" t="s">
        <v>298</v>
      </c>
      <c r="M505" s="145" t="s">
        <v>298</v>
      </c>
      <c r="N505" s="216" t="s">
        <v>298</v>
      </c>
      <c r="O505" s="216" t="s">
        <v>298</v>
      </c>
      <c r="P505" s="216" t="s">
        <v>298</v>
      </c>
      <c r="Q505" s="216" t="s">
        <v>298</v>
      </c>
      <c r="R505" s="219" t="s">
        <v>298</v>
      </c>
      <c r="S505" s="219" t="s">
        <v>298</v>
      </c>
      <c r="T505" s="219" t="s">
        <v>298</v>
      </c>
      <c r="U505" s="219" t="s">
        <v>298</v>
      </c>
      <c r="V505" s="230" t="s">
        <v>298</v>
      </c>
      <c r="W505" s="307">
        <v>2024</v>
      </c>
      <c r="X505" s="40"/>
      <c r="Y505" s="40"/>
      <c r="Z505" s="40"/>
    </row>
    <row r="506" spans="1:26" ht="51">
      <c r="A506" s="36" t="s">
        <v>272</v>
      </c>
      <c r="B506" s="12">
        <v>1</v>
      </c>
      <c r="C506" s="12">
        <v>5</v>
      </c>
      <c r="D506" s="12">
        <v>4</v>
      </c>
      <c r="E506" s="12">
        <v>0</v>
      </c>
      <c r="F506" s="12">
        <v>1</v>
      </c>
      <c r="G506" s="14"/>
      <c r="H506" s="63" t="s">
        <v>216</v>
      </c>
      <c r="I506" s="16" t="s">
        <v>66</v>
      </c>
      <c r="J506" s="16">
        <v>1</v>
      </c>
      <c r="K506" s="16">
        <v>1</v>
      </c>
      <c r="L506" s="16">
        <v>1</v>
      </c>
      <c r="M506" s="175">
        <v>1</v>
      </c>
      <c r="N506" s="238">
        <v>1</v>
      </c>
      <c r="O506" s="238">
        <v>1</v>
      </c>
      <c r="P506" s="238">
        <v>1</v>
      </c>
      <c r="Q506" s="238">
        <v>1</v>
      </c>
      <c r="R506" s="238">
        <v>1</v>
      </c>
      <c r="S506" s="238">
        <v>1</v>
      </c>
      <c r="T506" s="238">
        <v>1</v>
      </c>
      <c r="U506" s="238">
        <v>1</v>
      </c>
      <c r="V506" s="294">
        <f>J506+K506+L506+M506+O506+Q506+S506+T506+U506</f>
        <v>9</v>
      </c>
      <c r="W506" s="312">
        <v>2024</v>
      </c>
      <c r="X506" s="40">
        <f t="shared" si="158"/>
        <v>0</v>
      </c>
      <c r="Y506" s="40">
        <f t="shared" si="159"/>
        <v>0</v>
      </c>
      <c r="Z506" s="40">
        <f t="shared" si="160"/>
        <v>0</v>
      </c>
    </row>
    <row r="507" spans="1:26" ht="38.25">
      <c r="A507" s="36" t="s">
        <v>272</v>
      </c>
      <c r="B507" s="12">
        <v>1</v>
      </c>
      <c r="C507" s="12">
        <v>5</v>
      </c>
      <c r="D507" s="12">
        <v>4</v>
      </c>
      <c r="E507" s="12">
        <v>0</v>
      </c>
      <c r="F507" s="12">
        <v>1</v>
      </c>
      <c r="G507" s="14"/>
      <c r="H507" s="63" t="s">
        <v>9</v>
      </c>
      <c r="I507" s="14" t="s">
        <v>312</v>
      </c>
      <c r="J507" s="8">
        <v>29</v>
      </c>
      <c r="K507" s="8">
        <v>60</v>
      </c>
      <c r="L507" s="8">
        <v>61</v>
      </c>
      <c r="M507" s="163">
        <v>64</v>
      </c>
      <c r="N507" s="215">
        <v>64</v>
      </c>
      <c r="O507" s="215">
        <v>64</v>
      </c>
      <c r="P507" s="215">
        <v>64</v>
      </c>
      <c r="Q507" s="215">
        <v>64</v>
      </c>
      <c r="R507" s="215">
        <v>64</v>
      </c>
      <c r="S507" s="215">
        <v>64</v>
      </c>
      <c r="T507" s="215">
        <v>64</v>
      </c>
      <c r="U507" s="215">
        <v>64</v>
      </c>
      <c r="V507" s="223">
        <v>64</v>
      </c>
      <c r="W507" s="312">
        <v>2024</v>
      </c>
      <c r="X507" s="40">
        <f t="shared" si="158"/>
        <v>0</v>
      </c>
      <c r="Y507" s="40">
        <f t="shared" si="159"/>
        <v>0</v>
      </c>
      <c r="Z507" s="40">
        <f t="shared" si="160"/>
        <v>0</v>
      </c>
    </row>
    <row r="508" spans="1:27" s="50" customFormat="1" ht="63.75">
      <c r="A508" s="51" t="s">
        <v>272</v>
      </c>
      <c r="B508" s="17">
        <v>1</v>
      </c>
      <c r="C508" s="17">
        <v>5</v>
      </c>
      <c r="D508" s="17">
        <v>4</v>
      </c>
      <c r="E508" s="17">
        <v>0</v>
      </c>
      <c r="F508" s="17">
        <v>2</v>
      </c>
      <c r="G508" s="17"/>
      <c r="H508" s="53" t="s">
        <v>129</v>
      </c>
      <c r="I508" s="17" t="s">
        <v>273</v>
      </c>
      <c r="J508" s="7">
        <f aca="true" t="shared" si="175" ref="J508:U508">J509</f>
        <v>125</v>
      </c>
      <c r="K508" s="7">
        <f t="shared" si="175"/>
        <v>125</v>
      </c>
      <c r="L508" s="7">
        <f t="shared" si="175"/>
        <v>125</v>
      </c>
      <c r="M508" s="148">
        <f t="shared" si="175"/>
        <v>124.5</v>
      </c>
      <c r="N508" s="216">
        <f>N509</f>
        <v>125</v>
      </c>
      <c r="O508" s="216">
        <f t="shared" si="175"/>
        <v>125</v>
      </c>
      <c r="P508" s="216">
        <f>P509</f>
        <v>125</v>
      </c>
      <c r="Q508" s="216">
        <f t="shared" si="175"/>
        <v>125</v>
      </c>
      <c r="R508" s="213">
        <f>R509</f>
        <v>125</v>
      </c>
      <c r="S508" s="213">
        <f t="shared" si="175"/>
        <v>125</v>
      </c>
      <c r="T508" s="213">
        <f t="shared" si="175"/>
        <v>125</v>
      </c>
      <c r="U508" s="213">
        <f t="shared" si="175"/>
        <v>125</v>
      </c>
      <c r="V508" s="216">
        <f>J508+K508+L508+M508+O508+Q508+S508+T508+U508</f>
        <v>1124.5</v>
      </c>
      <c r="W508" s="308">
        <v>2024</v>
      </c>
      <c r="X508" s="40">
        <f t="shared" si="158"/>
        <v>0</v>
      </c>
      <c r="Y508" s="40">
        <f t="shared" si="159"/>
        <v>0</v>
      </c>
      <c r="Z508" s="40">
        <f t="shared" si="160"/>
        <v>0</v>
      </c>
      <c r="AA508" s="37"/>
    </row>
    <row r="509" spans="1:27" s="50" customFormat="1" ht="15">
      <c r="A509" s="36" t="s">
        <v>272</v>
      </c>
      <c r="B509" s="12">
        <v>1</v>
      </c>
      <c r="C509" s="12">
        <v>5</v>
      </c>
      <c r="D509" s="12">
        <v>4</v>
      </c>
      <c r="E509" s="12">
        <v>0</v>
      </c>
      <c r="F509" s="12">
        <v>2</v>
      </c>
      <c r="G509" s="12"/>
      <c r="H509" s="42" t="s">
        <v>274</v>
      </c>
      <c r="I509" s="12" t="s">
        <v>273</v>
      </c>
      <c r="J509" s="5">
        <v>125</v>
      </c>
      <c r="K509" s="5">
        <v>125</v>
      </c>
      <c r="L509" s="5">
        <v>125</v>
      </c>
      <c r="M509" s="183">
        <v>124.5</v>
      </c>
      <c r="N509" s="254">
        <v>125</v>
      </c>
      <c r="O509" s="254">
        <v>125</v>
      </c>
      <c r="P509" s="254">
        <v>125</v>
      </c>
      <c r="Q509" s="254">
        <v>125</v>
      </c>
      <c r="R509" s="254">
        <v>125</v>
      </c>
      <c r="S509" s="254">
        <v>125</v>
      </c>
      <c r="T509" s="254">
        <v>125</v>
      </c>
      <c r="U509" s="254">
        <v>125</v>
      </c>
      <c r="V509" s="217">
        <f>J509+K509+L509+M509+O509+Q509+S509+T509+U509</f>
        <v>1124.5</v>
      </c>
      <c r="W509" s="311">
        <v>2024</v>
      </c>
      <c r="X509" s="40">
        <f t="shared" si="158"/>
        <v>0</v>
      </c>
      <c r="Y509" s="40">
        <f t="shared" si="159"/>
        <v>0</v>
      </c>
      <c r="Z509" s="40">
        <f t="shared" si="160"/>
        <v>0</v>
      </c>
      <c r="AA509" s="37"/>
    </row>
    <row r="510" spans="1:26" ht="51">
      <c r="A510" s="36" t="s">
        <v>272</v>
      </c>
      <c r="B510" s="12">
        <v>1</v>
      </c>
      <c r="C510" s="12">
        <v>5</v>
      </c>
      <c r="D510" s="12">
        <v>4</v>
      </c>
      <c r="E510" s="12">
        <v>0</v>
      </c>
      <c r="F510" s="12">
        <v>2</v>
      </c>
      <c r="G510" s="12">
        <v>3</v>
      </c>
      <c r="H510" s="63" t="s">
        <v>217</v>
      </c>
      <c r="I510" s="14" t="s">
        <v>312</v>
      </c>
      <c r="J510" s="8">
        <v>2</v>
      </c>
      <c r="K510" s="8">
        <v>2</v>
      </c>
      <c r="L510" s="8">
        <v>4</v>
      </c>
      <c r="M510" s="163">
        <v>16</v>
      </c>
      <c r="N510" s="215">
        <v>2</v>
      </c>
      <c r="O510" s="215">
        <v>2</v>
      </c>
      <c r="P510" s="215">
        <v>2</v>
      </c>
      <c r="Q510" s="215">
        <v>2</v>
      </c>
      <c r="R510" s="215">
        <v>2</v>
      </c>
      <c r="S510" s="215">
        <v>2</v>
      </c>
      <c r="T510" s="215">
        <v>2</v>
      </c>
      <c r="U510" s="215">
        <v>2</v>
      </c>
      <c r="V510" s="223">
        <f>J510+K510+L510+M510+O510+Q510+S510+T510+U510</f>
        <v>34</v>
      </c>
      <c r="W510" s="312">
        <v>2024</v>
      </c>
      <c r="X510" s="40">
        <f t="shared" si="158"/>
        <v>0</v>
      </c>
      <c r="Y510" s="40">
        <f t="shared" si="159"/>
        <v>0</v>
      </c>
      <c r="Z510" s="40">
        <f t="shared" si="160"/>
        <v>0</v>
      </c>
    </row>
    <row r="511" spans="1:26" ht="63.75">
      <c r="A511" s="36" t="s">
        <v>272</v>
      </c>
      <c r="B511" s="12">
        <v>1</v>
      </c>
      <c r="C511" s="12">
        <v>5</v>
      </c>
      <c r="D511" s="12">
        <v>4</v>
      </c>
      <c r="E511" s="12">
        <v>0</v>
      </c>
      <c r="F511" s="12">
        <v>2</v>
      </c>
      <c r="G511" s="14"/>
      <c r="H511" s="63" t="s">
        <v>218</v>
      </c>
      <c r="I511" s="14" t="s">
        <v>312</v>
      </c>
      <c r="J511" s="8">
        <v>3</v>
      </c>
      <c r="K511" s="8">
        <v>3</v>
      </c>
      <c r="L511" s="8">
        <v>11</v>
      </c>
      <c r="M511" s="163">
        <v>22</v>
      </c>
      <c r="N511" s="215">
        <v>3</v>
      </c>
      <c r="O511" s="215">
        <v>3</v>
      </c>
      <c r="P511" s="215">
        <v>3</v>
      </c>
      <c r="Q511" s="215">
        <v>3</v>
      </c>
      <c r="R511" s="215">
        <v>3</v>
      </c>
      <c r="S511" s="215">
        <v>3</v>
      </c>
      <c r="T511" s="215">
        <v>3</v>
      </c>
      <c r="U511" s="215">
        <v>3</v>
      </c>
      <c r="V511" s="223">
        <f>J511+K511+L511+M511+O511+Q511+S511+T511+U511</f>
        <v>54</v>
      </c>
      <c r="W511" s="312">
        <v>2024</v>
      </c>
      <c r="X511" s="40">
        <f t="shared" si="158"/>
        <v>0</v>
      </c>
      <c r="Y511" s="40">
        <f t="shared" si="159"/>
        <v>0</v>
      </c>
      <c r="Z511" s="40">
        <f t="shared" si="160"/>
        <v>0</v>
      </c>
    </row>
    <row r="512" spans="1:27" s="50" customFormat="1" ht="12.75">
      <c r="A512" s="38" t="s">
        <v>272</v>
      </c>
      <c r="B512" s="2">
        <v>1</v>
      </c>
      <c r="C512" s="2">
        <v>9</v>
      </c>
      <c r="D512" s="2">
        <v>0</v>
      </c>
      <c r="E512" s="2">
        <v>0</v>
      </c>
      <c r="F512" s="2">
        <v>0</v>
      </c>
      <c r="G512" s="2"/>
      <c r="H512" s="39" t="s">
        <v>219</v>
      </c>
      <c r="I512" s="2" t="s">
        <v>273</v>
      </c>
      <c r="J512" s="4">
        <f>J513+J514</f>
        <v>56709</v>
      </c>
      <c r="K512" s="4">
        <f>K513+K514</f>
        <v>54057.3</v>
      </c>
      <c r="L512" s="4">
        <f>L513+L514</f>
        <v>57263.9</v>
      </c>
      <c r="M512" s="155">
        <f>M513</f>
        <v>65671.6</v>
      </c>
      <c r="N512" s="228">
        <f>N513+N514</f>
        <v>67571.1</v>
      </c>
      <c r="O512" s="228">
        <f aca="true" t="shared" si="176" ref="O512:U512">O513+O514</f>
        <v>67571.1</v>
      </c>
      <c r="P512" s="228">
        <f>P513+P514</f>
        <v>69066.7</v>
      </c>
      <c r="Q512" s="228">
        <f t="shared" si="176"/>
        <v>69066.7</v>
      </c>
      <c r="R512" s="206">
        <f>R513+R514</f>
        <v>71473.1</v>
      </c>
      <c r="S512" s="206">
        <f t="shared" si="176"/>
        <v>71473.1</v>
      </c>
      <c r="T512" s="206">
        <f t="shared" si="176"/>
        <v>71473.1</v>
      </c>
      <c r="U512" s="206">
        <f t="shared" si="176"/>
        <v>71473.1</v>
      </c>
      <c r="V512" s="228">
        <f aca="true" t="shared" si="177" ref="V512:V518">J512+K512+L512+M512+O512+Q512+S512+T512+U512</f>
        <v>584758.9</v>
      </c>
      <c r="W512" s="304">
        <v>2024</v>
      </c>
      <c r="X512" s="40">
        <f t="shared" si="158"/>
        <v>0</v>
      </c>
      <c r="Y512" s="40">
        <f t="shared" si="159"/>
        <v>0</v>
      </c>
      <c r="Z512" s="40">
        <f t="shared" si="160"/>
        <v>0</v>
      </c>
      <c r="AA512" s="37"/>
    </row>
    <row r="513" spans="1:27" s="50" customFormat="1" ht="12.75">
      <c r="A513" s="36" t="s">
        <v>272</v>
      </c>
      <c r="B513" s="12">
        <v>1</v>
      </c>
      <c r="C513" s="12">
        <v>9</v>
      </c>
      <c r="D513" s="12">
        <v>0</v>
      </c>
      <c r="E513" s="12">
        <v>0</v>
      </c>
      <c r="F513" s="12">
        <v>0</v>
      </c>
      <c r="G513" s="12"/>
      <c r="H513" s="42" t="s">
        <v>274</v>
      </c>
      <c r="I513" s="12" t="s">
        <v>273</v>
      </c>
      <c r="J513" s="5">
        <f aca="true" t="shared" si="178" ref="J513:L514">J517</f>
        <v>56709</v>
      </c>
      <c r="K513" s="5">
        <f t="shared" si="178"/>
        <v>54057.3</v>
      </c>
      <c r="L513" s="5">
        <f t="shared" si="178"/>
        <v>57003</v>
      </c>
      <c r="M513" s="160">
        <f aca="true" t="shared" si="179" ref="M513:U513">M517</f>
        <v>65671.6</v>
      </c>
      <c r="N513" s="214">
        <f>N517</f>
        <v>67571.1</v>
      </c>
      <c r="O513" s="214">
        <f t="shared" si="179"/>
        <v>67571.1</v>
      </c>
      <c r="P513" s="214">
        <f>P517</f>
        <v>69066.7</v>
      </c>
      <c r="Q513" s="214">
        <f t="shared" si="179"/>
        <v>69066.7</v>
      </c>
      <c r="R513" s="214">
        <f>R517</f>
        <v>71473.1</v>
      </c>
      <c r="S513" s="214">
        <f t="shared" si="179"/>
        <v>71473.1</v>
      </c>
      <c r="T513" s="214">
        <f t="shared" si="179"/>
        <v>71473.1</v>
      </c>
      <c r="U513" s="214">
        <f t="shared" si="179"/>
        <v>71473.1</v>
      </c>
      <c r="V513" s="217">
        <f t="shared" si="177"/>
        <v>584498</v>
      </c>
      <c r="W513" s="311">
        <v>2024</v>
      </c>
      <c r="X513" s="40">
        <f t="shared" si="158"/>
        <v>0</v>
      </c>
      <c r="Y513" s="40">
        <f t="shared" si="159"/>
        <v>0</v>
      </c>
      <c r="Z513" s="40">
        <f t="shared" si="160"/>
        <v>0</v>
      </c>
      <c r="AA513" s="37"/>
    </row>
    <row r="514" spans="1:27" s="50" customFormat="1" ht="12.75">
      <c r="A514" s="36" t="s">
        <v>272</v>
      </c>
      <c r="B514" s="12">
        <v>1</v>
      </c>
      <c r="C514" s="12">
        <v>9</v>
      </c>
      <c r="D514" s="12">
        <v>0</v>
      </c>
      <c r="E514" s="12">
        <v>0</v>
      </c>
      <c r="F514" s="12">
        <v>0</v>
      </c>
      <c r="G514" s="12"/>
      <c r="H514" s="42" t="s">
        <v>225</v>
      </c>
      <c r="I514" s="12" t="s">
        <v>273</v>
      </c>
      <c r="J514" s="5">
        <f t="shared" si="178"/>
        <v>0</v>
      </c>
      <c r="K514" s="5">
        <f t="shared" si="178"/>
        <v>0</v>
      </c>
      <c r="L514" s="5">
        <f t="shared" si="178"/>
        <v>260.9</v>
      </c>
      <c r="M514" s="160">
        <v>0</v>
      </c>
      <c r="N514" s="214">
        <v>0</v>
      </c>
      <c r="O514" s="214">
        <v>0</v>
      </c>
      <c r="P514" s="214">
        <v>0</v>
      </c>
      <c r="Q514" s="214">
        <v>0</v>
      </c>
      <c r="R514" s="214">
        <f>R518</f>
        <v>0</v>
      </c>
      <c r="S514" s="214">
        <f>S518</f>
        <v>0</v>
      </c>
      <c r="T514" s="214">
        <f>T518</f>
        <v>0</v>
      </c>
      <c r="U514" s="214">
        <f>U518</f>
        <v>0</v>
      </c>
      <c r="V514" s="217">
        <f t="shared" si="177"/>
        <v>260.9</v>
      </c>
      <c r="W514" s="311">
        <v>2018</v>
      </c>
      <c r="X514" s="40">
        <f t="shared" si="158"/>
        <v>0</v>
      </c>
      <c r="Y514" s="40">
        <f t="shared" si="159"/>
        <v>0</v>
      </c>
      <c r="Z514" s="40">
        <f t="shared" si="160"/>
        <v>0</v>
      </c>
      <c r="AA514" s="37"/>
    </row>
    <row r="515" spans="1:27" s="50" customFormat="1" ht="63.75">
      <c r="A515" s="36" t="s">
        <v>272</v>
      </c>
      <c r="B515" s="12">
        <v>1</v>
      </c>
      <c r="C515" s="12">
        <v>9</v>
      </c>
      <c r="D515" s="12">
        <v>1</v>
      </c>
      <c r="E515" s="12">
        <v>0</v>
      </c>
      <c r="F515" s="12">
        <v>0</v>
      </c>
      <c r="G515" s="12">
        <v>3</v>
      </c>
      <c r="H515" s="42" t="s">
        <v>166</v>
      </c>
      <c r="I515" s="12" t="s">
        <v>273</v>
      </c>
      <c r="J515" s="5">
        <f aca="true" t="shared" si="180" ref="J515:O515">J516</f>
        <v>56709</v>
      </c>
      <c r="K515" s="5">
        <f t="shared" si="180"/>
        <v>54057.3</v>
      </c>
      <c r="L515" s="5">
        <f t="shared" si="180"/>
        <v>57263.9</v>
      </c>
      <c r="M515" s="149">
        <f t="shared" si="180"/>
        <v>65671.6</v>
      </c>
      <c r="N515" s="214">
        <f>N516</f>
        <v>67571.1</v>
      </c>
      <c r="O515" s="214">
        <f t="shared" si="180"/>
        <v>67571.1</v>
      </c>
      <c r="P515" s="214">
        <f>P516</f>
        <v>69066.7</v>
      </c>
      <c r="Q515" s="214">
        <f>Q516</f>
        <v>69066.7</v>
      </c>
      <c r="R515" s="214">
        <f>R517</f>
        <v>71473.1</v>
      </c>
      <c r="S515" s="214">
        <f>S517</f>
        <v>71473.1</v>
      </c>
      <c r="T515" s="214">
        <f>T517</f>
        <v>71473.1</v>
      </c>
      <c r="U515" s="214">
        <f>U517</f>
        <v>71473.1</v>
      </c>
      <c r="V515" s="217">
        <f t="shared" si="177"/>
        <v>584758.9</v>
      </c>
      <c r="W515" s="311">
        <v>2024</v>
      </c>
      <c r="X515" s="40">
        <f t="shared" si="158"/>
        <v>0</v>
      </c>
      <c r="Y515" s="40">
        <f t="shared" si="159"/>
        <v>0</v>
      </c>
      <c r="Z515" s="40">
        <f t="shared" si="160"/>
        <v>0</v>
      </c>
      <c r="AA515" s="37"/>
    </row>
    <row r="516" spans="1:27" s="50" customFormat="1" ht="38.25">
      <c r="A516" s="51" t="s">
        <v>272</v>
      </c>
      <c r="B516" s="17">
        <v>1</v>
      </c>
      <c r="C516" s="17">
        <v>9</v>
      </c>
      <c r="D516" s="17">
        <v>1</v>
      </c>
      <c r="E516" s="17">
        <v>0</v>
      </c>
      <c r="F516" s="17">
        <v>1</v>
      </c>
      <c r="G516" s="17"/>
      <c r="H516" s="53" t="s">
        <v>30</v>
      </c>
      <c r="I516" s="17" t="s">
        <v>273</v>
      </c>
      <c r="J516" s="7">
        <f aca="true" t="shared" si="181" ref="J516:U516">J517+J518</f>
        <v>56709</v>
      </c>
      <c r="K516" s="7">
        <f t="shared" si="181"/>
        <v>54057.3</v>
      </c>
      <c r="L516" s="7">
        <f t="shared" si="181"/>
        <v>57263.9</v>
      </c>
      <c r="M516" s="148">
        <f t="shared" si="181"/>
        <v>65671.6</v>
      </c>
      <c r="N516" s="213">
        <f>N517+N518</f>
        <v>67571.1</v>
      </c>
      <c r="O516" s="213">
        <f t="shared" si="181"/>
        <v>67571.1</v>
      </c>
      <c r="P516" s="213">
        <f>P517+P518</f>
        <v>69066.7</v>
      </c>
      <c r="Q516" s="213">
        <f t="shared" si="181"/>
        <v>69066.7</v>
      </c>
      <c r="R516" s="213">
        <f>R517+R518</f>
        <v>71473.1</v>
      </c>
      <c r="S516" s="213">
        <f t="shared" si="181"/>
        <v>71473.1</v>
      </c>
      <c r="T516" s="213">
        <f t="shared" si="181"/>
        <v>71473.1</v>
      </c>
      <c r="U516" s="213">
        <f t="shared" si="181"/>
        <v>71473.1</v>
      </c>
      <c r="V516" s="216">
        <f>J516+K516+L516+M516+O516+Q516+S516+T516+U516</f>
        <v>584758.9</v>
      </c>
      <c r="W516" s="308">
        <v>2024</v>
      </c>
      <c r="X516" s="40">
        <f t="shared" si="158"/>
        <v>0</v>
      </c>
      <c r="Y516" s="40">
        <f t="shared" si="159"/>
        <v>0</v>
      </c>
      <c r="Z516" s="40">
        <f t="shared" si="160"/>
        <v>0</v>
      </c>
      <c r="AA516" s="37"/>
    </row>
    <row r="517" spans="1:27" s="50" customFormat="1" ht="12.75">
      <c r="A517" s="36" t="s">
        <v>272</v>
      </c>
      <c r="B517" s="12">
        <v>1</v>
      </c>
      <c r="C517" s="12">
        <v>9</v>
      </c>
      <c r="D517" s="12">
        <v>1</v>
      </c>
      <c r="E517" s="12">
        <v>0</v>
      </c>
      <c r="F517" s="12">
        <v>1</v>
      </c>
      <c r="G517" s="12"/>
      <c r="H517" s="42" t="s">
        <v>274</v>
      </c>
      <c r="I517" s="12" t="s">
        <v>273</v>
      </c>
      <c r="J517" s="22">
        <v>56709</v>
      </c>
      <c r="K517" s="22">
        <v>54057.3</v>
      </c>
      <c r="L517" s="22">
        <v>57003</v>
      </c>
      <c r="M517" s="166">
        <v>65671.6</v>
      </c>
      <c r="N517" s="229">
        <v>67571.1</v>
      </c>
      <c r="O517" s="229">
        <v>67571.1</v>
      </c>
      <c r="P517" s="229">
        <v>69066.7</v>
      </c>
      <c r="Q517" s="229">
        <v>69066.7</v>
      </c>
      <c r="R517" s="229">
        <v>71473.1</v>
      </c>
      <c r="S517" s="229">
        <v>71473.1</v>
      </c>
      <c r="T517" s="229">
        <v>71473.1</v>
      </c>
      <c r="U517" s="229">
        <v>71473.1</v>
      </c>
      <c r="V517" s="217">
        <f t="shared" si="177"/>
        <v>584498</v>
      </c>
      <c r="W517" s="311">
        <v>2024</v>
      </c>
      <c r="X517" s="40">
        <f t="shared" si="158"/>
        <v>0</v>
      </c>
      <c r="Y517" s="40">
        <f t="shared" si="159"/>
        <v>0</v>
      </c>
      <c r="Z517" s="40">
        <f t="shared" si="160"/>
        <v>0</v>
      </c>
      <c r="AA517" s="37"/>
    </row>
    <row r="518" spans="1:27" s="50" customFormat="1" ht="12.75">
      <c r="A518" s="36" t="s">
        <v>272</v>
      </c>
      <c r="B518" s="12">
        <v>1</v>
      </c>
      <c r="C518" s="12">
        <v>9</v>
      </c>
      <c r="D518" s="12">
        <v>1</v>
      </c>
      <c r="E518" s="12">
        <v>0</v>
      </c>
      <c r="F518" s="12">
        <v>1</v>
      </c>
      <c r="G518" s="12"/>
      <c r="H518" s="42" t="s">
        <v>225</v>
      </c>
      <c r="I518" s="12" t="s">
        <v>273</v>
      </c>
      <c r="J518" s="22">
        <v>0</v>
      </c>
      <c r="K518" s="22">
        <v>0</v>
      </c>
      <c r="L518" s="22">
        <v>260.9</v>
      </c>
      <c r="M518" s="166">
        <v>0</v>
      </c>
      <c r="N518" s="229">
        <v>0</v>
      </c>
      <c r="O518" s="229">
        <v>0</v>
      </c>
      <c r="P518" s="229">
        <v>0</v>
      </c>
      <c r="Q518" s="229">
        <v>0</v>
      </c>
      <c r="R518" s="229">
        <v>0</v>
      </c>
      <c r="S518" s="229">
        <v>0</v>
      </c>
      <c r="T518" s="229">
        <v>0</v>
      </c>
      <c r="U518" s="229">
        <v>0</v>
      </c>
      <c r="V518" s="217">
        <f t="shared" si="177"/>
        <v>260.9</v>
      </c>
      <c r="W518" s="311">
        <v>2018</v>
      </c>
      <c r="X518" s="40">
        <f t="shared" si="158"/>
        <v>0</v>
      </c>
      <c r="Y518" s="40">
        <f t="shared" si="159"/>
        <v>0</v>
      </c>
      <c r="Z518" s="40">
        <f t="shared" si="160"/>
        <v>0</v>
      </c>
      <c r="AA518" s="37"/>
    </row>
    <row r="519" spans="1:27" s="50" customFormat="1" ht="12.75">
      <c r="A519" s="36" t="s">
        <v>272</v>
      </c>
      <c r="B519" s="12">
        <v>1</v>
      </c>
      <c r="C519" s="12">
        <v>9</v>
      </c>
      <c r="D519" s="12">
        <v>2</v>
      </c>
      <c r="E519" s="12">
        <v>0</v>
      </c>
      <c r="F519" s="12">
        <v>0</v>
      </c>
      <c r="G519" s="12"/>
      <c r="H519" s="42" t="s">
        <v>227</v>
      </c>
      <c r="I519" s="12"/>
      <c r="J519" s="5"/>
      <c r="K519" s="5"/>
      <c r="L519" s="5"/>
      <c r="M519" s="160"/>
      <c r="N519" s="214"/>
      <c r="O519" s="214"/>
      <c r="P519" s="214"/>
      <c r="Q519" s="214"/>
      <c r="R519" s="214"/>
      <c r="S519" s="214"/>
      <c r="T519" s="214"/>
      <c r="U519" s="214"/>
      <c r="V519" s="217"/>
      <c r="W519" s="311"/>
      <c r="X519" s="40">
        <f t="shared" si="158"/>
        <v>0</v>
      </c>
      <c r="Y519" s="40">
        <f t="shared" si="159"/>
        <v>0</v>
      </c>
      <c r="Z519" s="40">
        <f t="shared" si="160"/>
        <v>0</v>
      </c>
      <c r="AA519" s="37"/>
    </row>
    <row r="520" spans="1:26" ht="63.75">
      <c r="A520" s="51" t="s">
        <v>272</v>
      </c>
      <c r="B520" s="17">
        <v>1</v>
      </c>
      <c r="C520" s="17">
        <v>9</v>
      </c>
      <c r="D520" s="17">
        <v>2</v>
      </c>
      <c r="E520" s="17">
        <v>0</v>
      </c>
      <c r="F520" s="17">
        <v>1</v>
      </c>
      <c r="G520" s="20"/>
      <c r="H520" s="52" t="s">
        <v>153</v>
      </c>
      <c r="I520" s="20" t="s">
        <v>297</v>
      </c>
      <c r="J520" s="23" t="s">
        <v>298</v>
      </c>
      <c r="K520" s="23" t="s">
        <v>298</v>
      </c>
      <c r="L520" s="23" t="s">
        <v>298</v>
      </c>
      <c r="M520" s="145" t="s">
        <v>298</v>
      </c>
      <c r="N520" s="230" t="s">
        <v>298</v>
      </c>
      <c r="O520" s="230" t="s">
        <v>298</v>
      </c>
      <c r="P520" s="230" t="s">
        <v>298</v>
      </c>
      <c r="Q520" s="230" t="s">
        <v>298</v>
      </c>
      <c r="R520" s="219" t="s">
        <v>298</v>
      </c>
      <c r="S520" s="219" t="s">
        <v>298</v>
      </c>
      <c r="T520" s="219" t="s">
        <v>298</v>
      </c>
      <c r="U520" s="219" t="s">
        <v>298</v>
      </c>
      <c r="V520" s="230" t="s">
        <v>298</v>
      </c>
      <c r="W520" s="307">
        <v>2024</v>
      </c>
      <c r="X520" s="40"/>
      <c r="Y520" s="40"/>
      <c r="Z520" s="40"/>
    </row>
    <row r="521" spans="1:26" ht="51">
      <c r="A521" s="36" t="s">
        <v>272</v>
      </c>
      <c r="B521" s="12">
        <v>1</v>
      </c>
      <c r="C521" s="12">
        <v>9</v>
      </c>
      <c r="D521" s="12">
        <v>2</v>
      </c>
      <c r="E521" s="12">
        <v>0</v>
      </c>
      <c r="F521" s="12">
        <v>1</v>
      </c>
      <c r="G521" s="14"/>
      <c r="H521" s="63" t="s">
        <v>220</v>
      </c>
      <c r="I521" s="14" t="s">
        <v>312</v>
      </c>
      <c r="J521" s="8">
        <v>10</v>
      </c>
      <c r="K521" s="8">
        <v>10</v>
      </c>
      <c r="L521" s="8">
        <v>10</v>
      </c>
      <c r="M521" s="163">
        <v>10</v>
      </c>
      <c r="N521" s="215">
        <v>10</v>
      </c>
      <c r="O521" s="215">
        <v>10</v>
      </c>
      <c r="P521" s="215">
        <v>10</v>
      </c>
      <c r="Q521" s="215">
        <v>10</v>
      </c>
      <c r="R521" s="215">
        <v>10</v>
      </c>
      <c r="S521" s="215">
        <v>10</v>
      </c>
      <c r="T521" s="215">
        <v>10</v>
      </c>
      <c r="U521" s="215">
        <v>10</v>
      </c>
      <c r="V521" s="223">
        <f>J521+K521+L521+M521+O521+Q521+S521+T521+U521</f>
        <v>90</v>
      </c>
      <c r="W521" s="312">
        <v>2024</v>
      </c>
      <c r="X521" s="40">
        <f>O521-N521</f>
        <v>0</v>
      </c>
      <c r="Y521" s="40">
        <f>Q521-P521</f>
        <v>0</v>
      </c>
      <c r="Z521" s="40">
        <f>S521-R521</f>
        <v>0</v>
      </c>
    </row>
    <row r="522" spans="1:26" ht="38.25">
      <c r="A522" s="51" t="s">
        <v>272</v>
      </c>
      <c r="B522" s="17">
        <v>1</v>
      </c>
      <c r="C522" s="17">
        <v>9</v>
      </c>
      <c r="D522" s="17">
        <v>2</v>
      </c>
      <c r="E522" s="17">
        <v>0</v>
      </c>
      <c r="F522" s="17">
        <v>2</v>
      </c>
      <c r="G522" s="20"/>
      <c r="H522" s="52" t="s">
        <v>31</v>
      </c>
      <c r="I522" s="20" t="s">
        <v>297</v>
      </c>
      <c r="J522" s="23" t="s">
        <v>298</v>
      </c>
      <c r="K522" s="23" t="s">
        <v>298</v>
      </c>
      <c r="L522" s="23" t="s">
        <v>298</v>
      </c>
      <c r="M522" s="145" t="s">
        <v>298</v>
      </c>
      <c r="N522" s="230" t="s">
        <v>298</v>
      </c>
      <c r="O522" s="230" t="s">
        <v>298</v>
      </c>
      <c r="P522" s="230" t="s">
        <v>298</v>
      </c>
      <c r="Q522" s="230" t="s">
        <v>298</v>
      </c>
      <c r="R522" s="219" t="s">
        <v>298</v>
      </c>
      <c r="S522" s="219" t="s">
        <v>298</v>
      </c>
      <c r="T522" s="219" t="s">
        <v>298</v>
      </c>
      <c r="U522" s="219" t="s">
        <v>298</v>
      </c>
      <c r="V522" s="230" t="s">
        <v>298</v>
      </c>
      <c r="W522" s="307">
        <v>2024</v>
      </c>
      <c r="X522" s="40"/>
      <c r="Y522" s="40"/>
      <c r="Z522" s="40"/>
    </row>
    <row r="523" spans="1:26" ht="38.25">
      <c r="A523" s="36" t="s">
        <v>272</v>
      </c>
      <c r="B523" s="12">
        <v>1</v>
      </c>
      <c r="C523" s="12">
        <v>9</v>
      </c>
      <c r="D523" s="12">
        <v>2</v>
      </c>
      <c r="E523" s="12">
        <v>0</v>
      </c>
      <c r="F523" s="12">
        <v>2</v>
      </c>
      <c r="G523" s="14"/>
      <c r="H523" s="63" t="s">
        <v>221</v>
      </c>
      <c r="I523" s="14" t="s">
        <v>301</v>
      </c>
      <c r="J523" s="8">
        <v>4</v>
      </c>
      <c r="K523" s="8">
        <v>3</v>
      </c>
      <c r="L523" s="8">
        <v>9</v>
      </c>
      <c r="M523" s="163">
        <v>4</v>
      </c>
      <c r="N523" s="215">
        <v>3</v>
      </c>
      <c r="O523" s="215">
        <v>3</v>
      </c>
      <c r="P523" s="215">
        <v>3</v>
      </c>
      <c r="Q523" s="215">
        <v>3</v>
      </c>
      <c r="R523" s="215">
        <v>4</v>
      </c>
      <c r="S523" s="215">
        <v>4</v>
      </c>
      <c r="T523" s="215">
        <v>4</v>
      </c>
      <c r="U523" s="215">
        <v>4</v>
      </c>
      <c r="V523" s="223">
        <f>J523+K523+L523+M523+O523+Q523+S523+T523+U523</f>
        <v>38</v>
      </c>
      <c r="W523" s="312">
        <v>2024</v>
      </c>
      <c r="X523" s="40">
        <f>O523-N523</f>
        <v>0</v>
      </c>
      <c r="Y523" s="40">
        <f>Q523-P523</f>
        <v>0</v>
      </c>
      <c r="Z523" s="40">
        <f>S523-R523</f>
        <v>0</v>
      </c>
    </row>
    <row r="524" spans="1:26" ht="89.25">
      <c r="A524" s="51" t="s">
        <v>272</v>
      </c>
      <c r="B524" s="17">
        <v>1</v>
      </c>
      <c r="C524" s="17">
        <v>9</v>
      </c>
      <c r="D524" s="17">
        <v>2</v>
      </c>
      <c r="E524" s="17">
        <v>0</v>
      </c>
      <c r="F524" s="17">
        <v>3</v>
      </c>
      <c r="G524" s="20"/>
      <c r="H524" s="52" t="s">
        <v>32</v>
      </c>
      <c r="I524" s="20" t="s">
        <v>297</v>
      </c>
      <c r="J524" s="23" t="s">
        <v>298</v>
      </c>
      <c r="K524" s="23" t="s">
        <v>298</v>
      </c>
      <c r="L524" s="23" t="s">
        <v>298</v>
      </c>
      <c r="M524" s="145" t="s">
        <v>298</v>
      </c>
      <c r="N524" s="230" t="s">
        <v>298</v>
      </c>
      <c r="O524" s="230" t="s">
        <v>298</v>
      </c>
      <c r="P524" s="230" t="s">
        <v>298</v>
      </c>
      <c r="Q524" s="230" t="s">
        <v>298</v>
      </c>
      <c r="R524" s="219" t="s">
        <v>298</v>
      </c>
      <c r="S524" s="219" t="s">
        <v>298</v>
      </c>
      <c r="T524" s="219" t="s">
        <v>298</v>
      </c>
      <c r="U524" s="219" t="s">
        <v>298</v>
      </c>
      <c r="V524" s="230" t="s">
        <v>298</v>
      </c>
      <c r="W524" s="307">
        <v>2024</v>
      </c>
      <c r="X524" s="40"/>
      <c r="Y524" s="40"/>
      <c r="Z524" s="40"/>
    </row>
    <row r="525" spans="1:26" ht="25.5">
      <c r="A525" s="36" t="s">
        <v>272</v>
      </c>
      <c r="B525" s="12">
        <v>1</v>
      </c>
      <c r="C525" s="12">
        <v>9</v>
      </c>
      <c r="D525" s="12">
        <v>2</v>
      </c>
      <c r="E525" s="12">
        <v>0</v>
      </c>
      <c r="F525" s="12">
        <v>3</v>
      </c>
      <c r="G525" s="14"/>
      <c r="H525" s="63" t="s">
        <v>222</v>
      </c>
      <c r="I525" s="14" t="s">
        <v>312</v>
      </c>
      <c r="J525" s="8">
        <v>25</v>
      </c>
      <c r="K525" s="8">
        <v>25</v>
      </c>
      <c r="L525" s="1">
        <v>45</v>
      </c>
      <c r="M525" s="147">
        <v>45</v>
      </c>
      <c r="N525" s="223">
        <v>25</v>
      </c>
      <c r="O525" s="223">
        <v>25</v>
      </c>
      <c r="P525" s="215">
        <v>25</v>
      </c>
      <c r="Q525" s="215">
        <v>25</v>
      </c>
      <c r="R525" s="215">
        <v>25</v>
      </c>
      <c r="S525" s="215">
        <v>25</v>
      </c>
      <c r="T525" s="215">
        <v>25</v>
      </c>
      <c r="U525" s="215">
        <v>25</v>
      </c>
      <c r="V525" s="223">
        <f>J525+K525+L525+M525+O525+Q525+S525+T525+U525</f>
        <v>265</v>
      </c>
      <c r="W525" s="312">
        <v>2024</v>
      </c>
      <c r="X525" s="40">
        <f>O525-N525</f>
        <v>0</v>
      </c>
      <c r="Y525" s="40">
        <f>Q525-P525</f>
        <v>0</v>
      </c>
      <c r="Z525" s="40">
        <f>S525-R525</f>
        <v>0</v>
      </c>
    </row>
    <row r="526" spans="1:23" ht="12.75">
      <c r="A526" s="84"/>
      <c r="B526" s="84"/>
      <c r="C526" s="84"/>
      <c r="D526" s="84"/>
      <c r="E526" s="84"/>
      <c r="F526" s="84"/>
      <c r="G526" s="84"/>
      <c r="H526" s="85"/>
      <c r="I526" s="86"/>
      <c r="J526" s="87"/>
      <c r="K526" s="87"/>
      <c r="M526" s="184"/>
      <c r="N526" s="255"/>
      <c r="O526" s="255"/>
      <c r="P526" s="255"/>
      <c r="Q526" s="255"/>
      <c r="R526" s="255"/>
      <c r="S526" s="255"/>
      <c r="T526" s="255"/>
      <c r="U526" s="255"/>
      <c r="V526" s="325"/>
      <c r="W526" s="326"/>
    </row>
    <row r="527" spans="1:23" ht="12.75">
      <c r="A527" s="84"/>
      <c r="B527" s="84"/>
      <c r="C527" s="84"/>
      <c r="D527" s="84"/>
      <c r="E527" s="84"/>
      <c r="F527" s="84"/>
      <c r="G527" s="84"/>
      <c r="H527" s="88"/>
      <c r="I527" s="86"/>
      <c r="J527" s="87"/>
      <c r="K527" s="87"/>
      <c r="L527" s="87"/>
      <c r="M527" s="184"/>
      <c r="N527" s="255"/>
      <c r="O527" s="255"/>
      <c r="P527" s="255"/>
      <c r="Q527" s="255"/>
      <c r="R527" s="255"/>
      <c r="S527" s="255"/>
      <c r="T527" s="255"/>
      <c r="U527" s="255"/>
      <c r="W527" s="328"/>
    </row>
    <row r="528" spans="1:23" ht="15.75">
      <c r="A528" s="339" t="s">
        <v>208</v>
      </c>
      <c r="B528" s="339"/>
      <c r="C528" s="339"/>
      <c r="D528" s="339"/>
      <c r="E528" s="339"/>
      <c r="F528" s="339"/>
      <c r="G528" s="339"/>
      <c r="H528" s="88"/>
      <c r="I528" s="89"/>
      <c r="J528" s="86"/>
      <c r="K528" s="86"/>
      <c r="L528" s="90"/>
      <c r="M528" s="184"/>
      <c r="N528" s="256"/>
      <c r="O528" s="255"/>
      <c r="P528" s="256"/>
      <c r="Q528" s="255"/>
      <c r="R528" s="256"/>
      <c r="S528" s="255"/>
      <c r="T528" s="255"/>
      <c r="U528" s="255"/>
      <c r="W528" s="328"/>
    </row>
    <row r="529" spans="1:23" ht="15.75">
      <c r="A529" s="339">
        <v>561511</v>
      </c>
      <c r="B529" s="339"/>
      <c r="C529" s="339"/>
      <c r="D529" s="339"/>
      <c r="E529" s="339"/>
      <c r="F529" s="339"/>
      <c r="G529" s="339"/>
      <c r="H529" s="91"/>
      <c r="I529" s="89"/>
      <c r="J529" s="86"/>
      <c r="K529" s="86"/>
      <c r="L529" s="87"/>
      <c r="M529" s="185"/>
      <c r="O529" s="256"/>
      <c r="Q529" s="256"/>
      <c r="S529" s="256"/>
      <c r="T529" s="256"/>
      <c r="U529" s="256"/>
      <c r="W529" s="328"/>
    </row>
    <row r="530" spans="1:23" ht="12.75">
      <c r="A530" s="92"/>
      <c r="B530" s="92"/>
      <c r="C530" s="92"/>
      <c r="D530" s="92"/>
      <c r="E530" s="92"/>
      <c r="F530" s="92"/>
      <c r="G530" s="93"/>
      <c r="H530" s="91"/>
      <c r="I530" s="89"/>
      <c r="J530" s="86"/>
      <c r="K530" s="86"/>
      <c r="L530" s="87"/>
      <c r="M530" s="185"/>
      <c r="O530" s="256"/>
      <c r="Q530" s="256"/>
      <c r="S530" s="256"/>
      <c r="T530" s="256"/>
      <c r="U530" s="256"/>
      <c r="W530" s="328"/>
    </row>
    <row r="531" spans="1:23" ht="12.75">
      <c r="A531" s="92"/>
      <c r="B531" s="92"/>
      <c r="C531" s="92"/>
      <c r="D531" s="92"/>
      <c r="E531" s="92"/>
      <c r="F531" s="92"/>
      <c r="G531" s="93"/>
      <c r="H531" s="91"/>
      <c r="I531" s="89"/>
      <c r="J531" s="86"/>
      <c r="K531" s="86"/>
      <c r="M531" s="185"/>
      <c r="O531" s="256"/>
      <c r="Q531" s="256"/>
      <c r="S531" s="256"/>
      <c r="T531" s="256"/>
      <c r="U531" s="256"/>
      <c r="W531" s="328"/>
    </row>
    <row r="532" ht="12.75">
      <c r="W532" s="328"/>
    </row>
    <row r="533" spans="12:23" ht="12.75">
      <c r="L533" s="86"/>
      <c r="W533" s="328"/>
    </row>
    <row r="534" spans="12:23" ht="12.75">
      <c r="L534" s="86"/>
      <c r="W534" s="328"/>
    </row>
    <row r="535" ht="12.75">
      <c r="W535" s="328"/>
    </row>
    <row r="536" ht="12.75">
      <c r="W536" s="328"/>
    </row>
    <row r="537" ht="12.75">
      <c r="W537" s="328"/>
    </row>
    <row r="538" ht="12.75">
      <c r="W538" s="328"/>
    </row>
    <row r="539" ht="12.75">
      <c r="W539" s="328"/>
    </row>
    <row r="540" ht="12.75">
      <c r="W540" s="328"/>
    </row>
    <row r="541" ht="12.75">
      <c r="W541" s="328"/>
    </row>
    <row r="542" ht="12.75">
      <c r="W542" s="328"/>
    </row>
    <row r="543" ht="12.75">
      <c r="W543" s="328"/>
    </row>
    <row r="544" ht="12.75">
      <c r="W544" s="328"/>
    </row>
    <row r="545" ht="12.75">
      <c r="W545" s="328"/>
    </row>
    <row r="546" ht="12.75">
      <c r="W546" s="328"/>
    </row>
    <row r="547" ht="12.75">
      <c r="W547" s="328"/>
    </row>
    <row r="548" ht="12.75">
      <c r="W548" s="328"/>
    </row>
    <row r="549" ht="12.75">
      <c r="W549" s="328"/>
    </row>
    <row r="550" ht="12.75">
      <c r="W550" s="328"/>
    </row>
    <row r="551" ht="12.75">
      <c r="W551" s="328"/>
    </row>
    <row r="552" ht="12.75">
      <c r="W552" s="328"/>
    </row>
    <row r="553" ht="12.75">
      <c r="W553" s="328"/>
    </row>
    <row r="554" spans="22:28" ht="12.75">
      <c r="V554" s="328"/>
      <c r="W554" s="328"/>
      <c r="AB554" s="31"/>
    </row>
    <row r="555" spans="22:28" ht="12.75">
      <c r="V555" s="328"/>
      <c r="W555" s="328"/>
      <c r="AB555" s="31"/>
    </row>
    <row r="556" spans="22:28" ht="12.75">
      <c r="V556" s="328"/>
      <c r="W556" s="328"/>
      <c r="AB556" s="31"/>
    </row>
    <row r="557" spans="22:28" ht="12.75">
      <c r="V557" s="328"/>
      <c r="W557" s="328"/>
      <c r="AB557" s="31"/>
    </row>
    <row r="558" spans="22:28" ht="12.75">
      <c r="V558" s="328"/>
      <c r="W558" s="328"/>
      <c r="AB558" s="31"/>
    </row>
    <row r="559" spans="22:28" ht="12.75">
      <c r="V559" s="328"/>
      <c r="W559" s="328"/>
      <c r="AB559" s="31"/>
    </row>
    <row r="560" spans="22:28" ht="12.75">
      <c r="V560" s="328"/>
      <c r="W560" s="328"/>
      <c r="AB560" s="31"/>
    </row>
    <row r="561" spans="22:28" ht="12.75">
      <c r="V561" s="328"/>
      <c r="W561" s="328"/>
      <c r="AB561" s="31"/>
    </row>
    <row r="562" spans="22:28" ht="12.75">
      <c r="V562" s="328"/>
      <c r="W562" s="328"/>
      <c r="AB562" s="31"/>
    </row>
    <row r="563" spans="22:28" ht="12.75">
      <c r="V563" s="328"/>
      <c r="W563" s="328"/>
      <c r="AB563" s="31"/>
    </row>
    <row r="564" spans="22:28" ht="12.75">
      <c r="V564" s="328"/>
      <c r="W564" s="328"/>
      <c r="AB564" s="31"/>
    </row>
    <row r="565" spans="22:28" ht="12.75">
      <c r="V565" s="328"/>
      <c r="W565" s="328"/>
      <c r="AB565" s="31"/>
    </row>
    <row r="566" spans="22:28" ht="12.75">
      <c r="V566" s="328"/>
      <c r="W566" s="328"/>
      <c r="AB566" s="31"/>
    </row>
    <row r="567" spans="22:28" ht="12.75">
      <c r="V567" s="328"/>
      <c r="W567" s="328"/>
      <c r="AB567" s="31"/>
    </row>
    <row r="568" spans="22:28" ht="12.75">
      <c r="V568" s="328"/>
      <c r="W568" s="328"/>
      <c r="AB568" s="31"/>
    </row>
    <row r="569" spans="22:28" ht="12.75">
      <c r="V569" s="328"/>
      <c r="W569" s="328"/>
      <c r="AB569" s="31"/>
    </row>
    <row r="570" spans="22:28" ht="12.75">
      <c r="V570" s="328"/>
      <c r="W570" s="328"/>
      <c r="AB570" s="31"/>
    </row>
    <row r="571" spans="22:28" ht="12.75">
      <c r="V571" s="328"/>
      <c r="W571" s="328"/>
      <c r="AB571" s="31"/>
    </row>
    <row r="572" spans="22:28" ht="12.75">
      <c r="V572" s="328"/>
      <c r="W572" s="328"/>
      <c r="AB572" s="31"/>
    </row>
    <row r="573" spans="22:28" ht="12.75">
      <c r="V573" s="328"/>
      <c r="W573" s="328"/>
      <c r="AB573" s="31"/>
    </row>
    <row r="574" spans="22:28" ht="12.75">
      <c r="V574" s="328"/>
      <c r="W574" s="328"/>
      <c r="AB574" s="31"/>
    </row>
    <row r="575" spans="22:28" ht="12.75">
      <c r="V575" s="328"/>
      <c r="W575" s="328"/>
      <c r="AB575" s="31"/>
    </row>
    <row r="576" spans="22:28" ht="12.75">
      <c r="V576" s="328"/>
      <c r="W576" s="328"/>
      <c r="AB576" s="31"/>
    </row>
    <row r="577" spans="22:28" ht="12.75">
      <c r="V577" s="328"/>
      <c r="W577" s="328"/>
      <c r="AB577" s="31"/>
    </row>
    <row r="578" spans="22:28" ht="12.75">
      <c r="V578" s="328"/>
      <c r="W578" s="328"/>
      <c r="AB578" s="31"/>
    </row>
    <row r="579" spans="22:28" ht="12.75">
      <c r="V579" s="328"/>
      <c r="W579" s="328"/>
      <c r="AB579" s="31"/>
    </row>
    <row r="580" spans="22:28" ht="12.75">
      <c r="V580" s="328"/>
      <c r="W580" s="328"/>
      <c r="AB580" s="31"/>
    </row>
    <row r="581" spans="22:28" ht="12.75">
      <c r="V581" s="328"/>
      <c r="W581" s="328"/>
      <c r="AB581" s="31"/>
    </row>
    <row r="582" spans="22:28" ht="12.75">
      <c r="V582" s="328"/>
      <c r="W582" s="328"/>
      <c r="AB582" s="31"/>
    </row>
    <row r="583" spans="22:28" ht="12.75">
      <c r="V583" s="328"/>
      <c r="W583" s="328"/>
      <c r="AB583" s="31"/>
    </row>
    <row r="584" spans="22:28" ht="12.75">
      <c r="V584" s="328"/>
      <c r="W584" s="328"/>
      <c r="AB584" s="31"/>
    </row>
    <row r="585" spans="22:28" ht="12.75">
      <c r="V585" s="328"/>
      <c r="W585" s="328"/>
      <c r="AB585" s="31"/>
    </row>
    <row r="586" spans="22:28" ht="12.75">
      <c r="V586" s="328"/>
      <c r="W586" s="328"/>
      <c r="AB586" s="31"/>
    </row>
    <row r="587" spans="22:28" ht="12.75">
      <c r="V587" s="328"/>
      <c r="W587" s="328"/>
      <c r="AB587" s="31"/>
    </row>
    <row r="588" spans="22:28" ht="12.75">
      <c r="V588" s="328"/>
      <c r="W588" s="328"/>
      <c r="AB588" s="31"/>
    </row>
    <row r="589" spans="22:28" ht="12.75">
      <c r="V589" s="328"/>
      <c r="W589" s="328"/>
      <c r="AB589" s="31"/>
    </row>
    <row r="590" spans="22:28" ht="12.75">
      <c r="V590" s="328"/>
      <c r="W590" s="328"/>
      <c r="AB590" s="31"/>
    </row>
    <row r="591" spans="22:28" ht="12.75">
      <c r="V591" s="328"/>
      <c r="W591" s="328"/>
      <c r="AB591" s="31"/>
    </row>
    <row r="592" spans="22:28" ht="12.75">
      <c r="V592" s="328"/>
      <c r="W592" s="328"/>
      <c r="AB592" s="31"/>
    </row>
    <row r="593" spans="22:28" ht="12.75">
      <c r="V593" s="328"/>
      <c r="W593" s="328"/>
      <c r="AB593" s="31"/>
    </row>
    <row r="594" spans="22:28" ht="12.75">
      <c r="V594" s="328"/>
      <c r="W594" s="328"/>
      <c r="AB594" s="31"/>
    </row>
    <row r="595" spans="22:28" ht="12.75">
      <c r="V595" s="328"/>
      <c r="W595" s="328"/>
      <c r="AB595" s="31"/>
    </row>
    <row r="596" spans="22:28" ht="12.75">
      <c r="V596" s="328"/>
      <c r="W596" s="328"/>
      <c r="AB596" s="31"/>
    </row>
    <row r="597" spans="22:28" ht="12.75">
      <c r="V597" s="328"/>
      <c r="W597" s="328"/>
      <c r="AB597" s="31"/>
    </row>
    <row r="598" spans="22:28" ht="12.75">
      <c r="V598" s="328"/>
      <c r="W598" s="328"/>
      <c r="AB598" s="31"/>
    </row>
    <row r="599" spans="22:28" ht="12.75">
      <c r="V599" s="328"/>
      <c r="W599" s="328"/>
      <c r="AB599" s="31"/>
    </row>
    <row r="600" spans="22:28" ht="12.75">
      <c r="V600" s="328"/>
      <c r="W600" s="328"/>
      <c r="AB600" s="31"/>
    </row>
    <row r="601" spans="22:28" ht="12.75">
      <c r="V601" s="328"/>
      <c r="W601" s="328"/>
      <c r="AB601" s="31"/>
    </row>
    <row r="602" spans="22:28" ht="12.75">
      <c r="V602" s="328"/>
      <c r="W602" s="328"/>
      <c r="AB602" s="31"/>
    </row>
    <row r="603" spans="22:28" ht="12.75">
      <c r="V603" s="328"/>
      <c r="W603" s="328"/>
      <c r="AB603" s="31"/>
    </row>
    <row r="604" spans="22:28" ht="12.75">
      <c r="V604" s="328"/>
      <c r="W604" s="328"/>
      <c r="AB604" s="31"/>
    </row>
    <row r="605" spans="22:28" ht="12.75">
      <c r="V605" s="328"/>
      <c r="W605" s="328"/>
      <c r="AB605" s="31"/>
    </row>
    <row r="606" spans="22:28" ht="12.75">
      <c r="V606" s="328"/>
      <c r="W606" s="328"/>
      <c r="AB606" s="31"/>
    </row>
    <row r="607" spans="22:28" ht="12.75">
      <c r="V607" s="328"/>
      <c r="W607" s="328"/>
      <c r="AB607" s="31"/>
    </row>
    <row r="608" spans="22:28" ht="12.75">
      <c r="V608" s="328"/>
      <c r="W608" s="328"/>
      <c r="AB608" s="31"/>
    </row>
    <row r="609" spans="22:28" ht="12.75">
      <c r="V609" s="328"/>
      <c r="W609" s="328"/>
      <c r="AB609" s="31"/>
    </row>
    <row r="610" spans="22:28" ht="12.75">
      <c r="V610" s="328"/>
      <c r="W610" s="328"/>
      <c r="AB610" s="31"/>
    </row>
    <row r="611" spans="22:28" ht="12.75">
      <c r="V611" s="328"/>
      <c r="W611" s="328"/>
      <c r="AB611" s="31"/>
    </row>
    <row r="612" spans="22:28" ht="12.75">
      <c r="V612" s="328"/>
      <c r="W612" s="328"/>
      <c r="AB612" s="31"/>
    </row>
    <row r="613" spans="22:28" ht="12.75">
      <c r="V613" s="328"/>
      <c r="W613" s="328"/>
      <c r="AB613" s="31"/>
    </row>
    <row r="614" spans="22:28" ht="12.75">
      <c r="V614" s="328"/>
      <c r="W614" s="328"/>
      <c r="AB614" s="31"/>
    </row>
    <row r="615" spans="22:28" ht="12.75">
      <c r="V615" s="328"/>
      <c r="W615" s="328"/>
      <c r="AB615" s="31"/>
    </row>
    <row r="616" spans="22:28" ht="12.75">
      <c r="V616" s="328"/>
      <c r="W616" s="328"/>
      <c r="AB616" s="31"/>
    </row>
    <row r="617" spans="22:28" ht="12.75">
      <c r="V617" s="328"/>
      <c r="W617" s="328"/>
      <c r="AB617" s="31"/>
    </row>
    <row r="618" spans="22:28" ht="12.75">
      <c r="V618" s="328"/>
      <c r="W618" s="328"/>
      <c r="AB618" s="31"/>
    </row>
    <row r="619" spans="22:28" ht="12.75">
      <c r="V619" s="328"/>
      <c r="W619" s="328"/>
      <c r="AB619" s="31"/>
    </row>
    <row r="620" spans="22:28" ht="12.75">
      <c r="V620" s="328"/>
      <c r="W620" s="328"/>
      <c r="AB620" s="31"/>
    </row>
    <row r="621" spans="22:28" ht="12.75">
      <c r="V621" s="328"/>
      <c r="W621" s="328"/>
      <c r="AB621" s="31"/>
    </row>
    <row r="622" spans="22:28" ht="12.75">
      <c r="V622" s="328"/>
      <c r="W622" s="328"/>
      <c r="AB622" s="31"/>
    </row>
    <row r="623" spans="22:28" ht="12.75">
      <c r="V623" s="328"/>
      <c r="W623" s="328"/>
      <c r="AB623" s="31"/>
    </row>
    <row r="624" spans="22:28" ht="12.75">
      <c r="V624" s="328"/>
      <c r="W624" s="328"/>
      <c r="AB624" s="31"/>
    </row>
    <row r="625" spans="22:28" ht="12.75">
      <c r="V625" s="328"/>
      <c r="W625" s="328"/>
      <c r="AB625" s="31"/>
    </row>
    <row r="626" spans="22:28" ht="12.75">
      <c r="V626" s="328"/>
      <c r="W626" s="328"/>
      <c r="AB626" s="31"/>
    </row>
    <row r="627" spans="22:28" ht="12.75">
      <c r="V627" s="328"/>
      <c r="W627" s="328"/>
      <c r="AB627" s="31"/>
    </row>
    <row r="628" spans="22:28" ht="12.75">
      <c r="V628" s="328"/>
      <c r="W628" s="328"/>
      <c r="AB628" s="31"/>
    </row>
    <row r="629" spans="22:28" ht="12.75">
      <c r="V629" s="328"/>
      <c r="W629" s="328"/>
      <c r="AB629" s="31"/>
    </row>
    <row r="630" spans="22:28" ht="12.75">
      <c r="V630" s="328"/>
      <c r="W630" s="328"/>
      <c r="AB630" s="31"/>
    </row>
    <row r="631" spans="22:28" ht="12.75">
      <c r="V631" s="328"/>
      <c r="W631" s="328"/>
      <c r="AB631" s="31"/>
    </row>
    <row r="632" spans="22:28" ht="12.75">
      <c r="V632" s="328"/>
      <c r="W632" s="328"/>
      <c r="AB632" s="31"/>
    </row>
    <row r="633" spans="22:28" ht="12.75">
      <c r="V633" s="328"/>
      <c r="W633" s="328"/>
      <c r="AB633" s="31"/>
    </row>
    <row r="634" spans="22:28" ht="12.75">
      <c r="V634" s="328"/>
      <c r="W634" s="328"/>
      <c r="AB634" s="31"/>
    </row>
    <row r="635" spans="22:28" ht="12.75">
      <c r="V635" s="328"/>
      <c r="W635" s="328"/>
      <c r="AB635" s="31"/>
    </row>
    <row r="636" spans="22:28" ht="12.75">
      <c r="V636" s="328"/>
      <c r="W636" s="328"/>
      <c r="AB636" s="31"/>
    </row>
    <row r="637" spans="22:28" ht="12.75">
      <c r="V637" s="328"/>
      <c r="W637" s="328"/>
      <c r="AB637" s="31"/>
    </row>
    <row r="638" spans="22:28" ht="12.75">
      <c r="V638" s="328"/>
      <c r="W638" s="328"/>
      <c r="AB638" s="31"/>
    </row>
    <row r="639" spans="22:28" ht="12.75">
      <c r="V639" s="328"/>
      <c r="W639" s="328"/>
      <c r="AB639" s="31"/>
    </row>
    <row r="640" spans="22:28" ht="12.75">
      <c r="V640" s="328"/>
      <c r="W640" s="328"/>
      <c r="AB640" s="31"/>
    </row>
    <row r="641" spans="22:28" ht="12.75">
      <c r="V641" s="328"/>
      <c r="W641" s="328"/>
      <c r="AB641" s="31"/>
    </row>
    <row r="642" spans="22:28" ht="12.75">
      <c r="V642" s="328"/>
      <c r="W642" s="328"/>
      <c r="AB642" s="31"/>
    </row>
    <row r="643" spans="22:28" ht="12.75">
      <c r="V643" s="328"/>
      <c r="W643" s="328"/>
      <c r="AB643" s="31"/>
    </row>
    <row r="644" spans="22:28" ht="12.75">
      <c r="V644" s="328"/>
      <c r="W644" s="328"/>
      <c r="AB644" s="31"/>
    </row>
    <row r="645" spans="22:28" ht="12.75">
      <c r="V645" s="328"/>
      <c r="W645" s="328"/>
      <c r="AB645" s="31"/>
    </row>
    <row r="646" spans="22:28" ht="12.75">
      <c r="V646" s="328"/>
      <c r="W646" s="328"/>
      <c r="AB646" s="31"/>
    </row>
    <row r="647" spans="22:28" ht="12.75">
      <c r="V647" s="328"/>
      <c r="W647" s="328"/>
      <c r="AB647" s="31"/>
    </row>
    <row r="648" spans="22:28" ht="12.75">
      <c r="V648" s="328"/>
      <c r="W648" s="328"/>
      <c r="AB648" s="31"/>
    </row>
    <row r="649" spans="22:28" ht="12.75">
      <c r="V649" s="328"/>
      <c r="W649" s="328"/>
      <c r="AB649" s="31"/>
    </row>
    <row r="650" spans="22:28" ht="12.75">
      <c r="V650" s="328"/>
      <c r="W650" s="328"/>
      <c r="AB650" s="31"/>
    </row>
    <row r="651" spans="22:28" ht="12.75">
      <c r="V651" s="328"/>
      <c r="W651" s="328"/>
      <c r="AB651" s="31"/>
    </row>
    <row r="652" spans="22:28" ht="12.75">
      <c r="V652" s="328"/>
      <c r="W652" s="328"/>
      <c r="AB652" s="31"/>
    </row>
    <row r="653" spans="22:28" ht="12.75">
      <c r="V653" s="328"/>
      <c r="W653" s="328"/>
      <c r="AB653" s="31"/>
    </row>
    <row r="654" spans="22:28" ht="12.75">
      <c r="V654" s="328"/>
      <c r="W654" s="328"/>
      <c r="AB654" s="31"/>
    </row>
    <row r="655" spans="22:28" ht="12.75">
      <c r="V655" s="328"/>
      <c r="W655" s="328"/>
      <c r="AB655" s="31"/>
    </row>
    <row r="656" spans="22:28" ht="12.75">
      <c r="V656" s="328"/>
      <c r="W656" s="328"/>
      <c r="AB656" s="31"/>
    </row>
    <row r="657" spans="22:28" ht="12.75">
      <c r="V657" s="328"/>
      <c r="W657" s="328"/>
      <c r="AB657" s="31"/>
    </row>
    <row r="658" spans="22:28" ht="12.75">
      <c r="V658" s="328"/>
      <c r="W658" s="328"/>
      <c r="AB658" s="31"/>
    </row>
    <row r="659" spans="22:28" ht="12.75">
      <c r="V659" s="328"/>
      <c r="W659" s="328"/>
      <c r="AB659" s="31"/>
    </row>
    <row r="660" spans="22:28" ht="12.75">
      <c r="V660" s="328"/>
      <c r="W660" s="328"/>
      <c r="AB660" s="31"/>
    </row>
    <row r="661" spans="22:28" ht="12.75">
      <c r="V661" s="328"/>
      <c r="W661" s="328"/>
      <c r="AB661" s="31"/>
    </row>
    <row r="662" ht="12.75">
      <c r="W662" s="329"/>
    </row>
    <row r="663" ht="12.75">
      <c r="W663" s="329"/>
    </row>
    <row r="664" ht="12.75">
      <c r="W664" s="329"/>
    </row>
    <row r="665" ht="12.75">
      <c r="W665" s="329"/>
    </row>
    <row r="666" ht="12.75">
      <c r="W666" s="329"/>
    </row>
    <row r="667" ht="12.75">
      <c r="W667" s="329"/>
    </row>
    <row r="668" ht="12.75">
      <c r="W668" s="329"/>
    </row>
    <row r="669" ht="12.75">
      <c r="W669" s="329"/>
    </row>
    <row r="670" ht="12.75">
      <c r="W670" s="329"/>
    </row>
    <row r="671" ht="12.75">
      <c r="W671" s="329"/>
    </row>
    <row r="672" ht="12.75">
      <c r="W672" s="329"/>
    </row>
    <row r="673" ht="12.75">
      <c r="W673" s="329"/>
    </row>
    <row r="674" ht="12.75">
      <c r="W674" s="329"/>
    </row>
    <row r="675" ht="12.75">
      <c r="W675" s="329"/>
    </row>
    <row r="676" ht="12.75">
      <c r="W676" s="329"/>
    </row>
    <row r="677" ht="12.75">
      <c r="W677" s="329"/>
    </row>
    <row r="678" ht="12.75">
      <c r="W678" s="329"/>
    </row>
    <row r="679" ht="12.75">
      <c r="W679" s="329"/>
    </row>
    <row r="680" ht="12.75">
      <c r="W680" s="329"/>
    </row>
    <row r="681" ht="12.75">
      <c r="W681" s="329"/>
    </row>
    <row r="682" ht="12.75">
      <c r="W682" s="329"/>
    </row>
    <row r="683" ht="12.75">
      <c r="W683" s="329"/>
    </row>
    <row r="684" ht="12.75">
      <c r="W684" s="329"/>
    </row>
    <row r="685" ht="12.75">
      <c r="W685" s="329"/>
    </row>
    <row r="686" ht="12.75">
      <c r="W686" s="329"/>
    </row>
    <row r="687" ht="12.75">
      <c r="W687" s="329"/>
    </row>
    <row r="688" ht="12.75">
      <c r="W688" s="329"/>
    </row>
    <row r="689" ht="12.75">
      <c r="W689" s="329"/>
    </row>
    <row r="690" ht="12.75">
      <c r="W690" s="329"/>
    </row>
    <row r="691" ht="12.75">
      <c r="W691" s="329"/>
    </row>
    <row r="692" ht="12.75">
      <c r="W692" s="329"/>
    </row>
    <row r="693" ht="12.75">
      <c r="W693" s="329"/>
    </row>
    <row r="694" ht="12.75">
      <c r="W694" s="329"/>
    </row>
    <row r="695" ht="12.75">
      <c r="W695" s="329"/>
    </row>
    <row r="696" ht="12.75">
      <c r="W696" s="329"/>
    </row>
    <row r="697" ht="12.75">
      <c r="W697" s="329"/>
    </row>
    <row r="698" ht="12.75">
      <c r="W698" s="329"/>
    </row>
    <row r="699" ht="12.75">
      <c r="W699" s="329"/>
    </row>
    <row r="700" ht="12.75">
      <c r="W700" s="329"/>
    </row>
    <row r="701" ht="12.75">
      <c r="W701" s="329"/>
    </row>
    <row r="702" ht="12.75">
      <c r="W702" s="329"/>
    </row>
    <row r="703" ht="12.75">
      <c r="W703" s="329"/>
    </row>
    <row r="704" ht="12.75">
      <c r="W704" s="329"/>
    </row>
    <row r="705" ht="12.75">
      <c r="W705" s="329"/>
    </row>
    <row r="706" ht="12.75">
      <c r="W706" s="329"/>
    </row>
    <row r="707" ht="12.75">
      <c r="W707" s="329"/>
    </row>
    <row r="708" ht="12.75">
      <c r="W708" s="329"/>
    </row>
    <row r="709" ht="12.75">
      <c r="W709" s="329"/>
    </row>
    <row r="710" ht="12.75">
      <c r="W710" s="329"/>
    </row>
    <row r="711" ht="12.75">
      <c r="W711" s="329"/>
    </row>
    <row r="712" ht="12.75">
      <c r="W712" s="329"/>
    </row>
    <row r="713" ht="12.75">
      <c r="W713" s="329"/>
    </row>
    <row r="714" ht="12.75">
      <c r="W714" s="329"/>
    </row>
    <row r="715" ht="12.75">
      <c r="W715" s="329"/>
    </row>
    <row r="716" ht="12.75">
      <c r="W716" s="329"/>
    </row>
    <row r="717" ht="12.75">
      <c r="W717" s="329"/>
    </row>
    <row r="718" ht="12.75">
      <c r="W718" s="329"/>
    </row>
    <row r="719" ht="12.75">
      <c r="W719" s="329"/>
    </row>
    <row r="720" ht="12.75">
      <c r="W720" s="329"/>
    </row>
    <row r="721" ht="12.75">
      <c r="W721" s="329"/>
    </row>
    <row r="722" ht="12.75">
      <c r="W722" s="329"/>
    </row>
    <row r="723" ht="12.75">
      <c r="W723" s="329"/>
    </row>
    <row r="724" ht="12.75">
      <c r="W724" s="329"/>
    </row>
    <row r="725" ht="12.75">
      <c r="W725" s="329"/>
    </row>
    <row r="726" ht="12.75">
      <c r="W726" s="329"/>
    </row>
    <row r="727" ht="12.75">
      <c r="W727" s="329"/>
    </row>
    <row r="728" ht="12.75">
      <c r="W728" s="329"/>
    </row>
    <row r="729" ht="12.75">
      <c r="W729" s="329"/>
    </row>
    <row r="730" ht="12.75">
      <c r="W730" s="329"/>
    </row>
    <row r="731" ht="12.75">
      <c r="W731" s="329"/>
    </row>
    <row r="732" ht="12.75">
      <c r="W732" s="329"/>
    </row>
    <row r="733" ht="12.75">
      <c r="W733" s="329"/>
    </row>
    <row r="734" ht="12.75">
      <c r="W734" s="329"/>
    </row>
    <row r="735" ht="12.75">
      <c r="W735" s="329"/>
    </row>
    <row r="736" ht="12.75">
      <c r="W736" s="329"/>
    </row>
    <row r="737" ht="12.75">
      <c r="W737" s="329"/>
    </row>
    <row r="738" ht="12.75">
      <c r="W738" s="329"/>
    </row>
    <row r="739" ht="12.75">
      <c r="W739" s="329"/>
    </row>
    <row r="740" ht="12.75">
      <c r="W740" s="329"/>
    </row>
    <row r="741" ht="12.75">
      <c r="W741" s="329"/>
    </row>
    <row r="742" ht="12.75">
      <c r="W742" s="329"/>
    </row>
    <row r="743" ht="12.75">
      <c r="W743" s="329"/>
    </row>
    <row r="744" ht="12.75">
      <c r="W744" s="329"/>
    </row>
    <row r="745" ht="12.75">
      <c r="W745" s="329"/>
    </row>
    <row r="746" ht="12.75">
      <c r="W746" s="329"/>
    </row>
    <row r="747" ht="12.75">
      <c r="W747" s="329"/>
    </row>
    <row r="748" ht="12.75">
      <c r="W748" s="329"/>
    </row>
    <row r="749" ht="12.75">
      <c r="W749" s="329"/>
    </row>
    <row r="750" ht="12.75">
      <c r="W750" s="329"/>
    </row>
    <row r="751" ht="12.75">
      <c r="W751" s="329"/>
    </row>
    <row r="752" ht="12.75">
      <c r="W752" s="329"/>
    </row>
    <row r="753" ht="12.75">
      <c r="W753" s="329"/>
    </row>
    <row r="754" ht="12.75">
      <c r="W754" s="329"/>
    </row>
    <row r="755" ht="12.75">
      <c r="W755" s="329"/>
    </row>
    <row r="756" ht="12.75">
      <c r="W756" s="329"/>
    </row>
    <row r="757" ht="12.75">
      <c r="W757" s="329"/>
    </row>
    <row r="758" ht="12.75">
      <c r="W758" s="329"/>
    </row>
    <row r="759" ht="12.75">
      <c r="W759" s="329"/>
    </row>
    <row r="760" ht="12.75">
      <c r="W760" s="329"/>
    </row>
    <row r="761" ht="12.75">
      <c r="W761" s="329"/>
    </row>
    <row r="762" ht="12.75">
      <c r="W762" s="329"/>
    </row>
    <row r="763" ht="12.75">
      <c r="W763" s="329"/>
    </row>
    <row r="764" ht="12.75">
      <c r="W764" s="329"/>
    </row>
    <row r="765" ht="12.75">
      <c r="W765" s="329"/>
    </row>
    <row r="766" ht="12.75">
      <c r="W766" s="329"/>
    </row>
    <row r="767" ht="12.75">
      <c r="W767" s="329"/>
    </row>
    <row r="768" ht="12.75">
      <c r="W768" s="329"/>
    </row>
    <row r="769" ht="12.75">
      <c r="W769" s="329"/>
    </row>
    <row r="770" ht="12.75">
      <c r="W770" s="329"/>
    </row>
    <row r="771" ht="12.75">
      <c r="W771" s="329"/>
    </row>
    <row r="772" ht="12.75">
      <c r="W772" s="329"/>
    </row>
    <row r="773" ht="12.75">
      <c r="W773" s="329"/>
    </row>
    <row r="774" ht="12.75">
      <c r="W774" s="329"/>
    </row>
    <row r="775" ht="12.75">
      <c r="W775" s="329"/>
    </row>
    <row r="776" ht="12.75">
      <c r="W776" s="329"/>
    </row>
    <row r="777" ht="12.75">
      <c r="W777" s="329"/>
    </row>
    <row r="778" ht="12.75">
      <c r="W778" s="329"/>
    </row>
    <row r="779" ht="12.75">
      <c r="W779" s="329"/>
    </row>
    <row r="780" ht="12.75">
      <c r="W780" s="329"/>
    </row>
    <row r="781" ht="12.75">
      <c r="W781" s="329"/>
    </row>
    <row r="782" ht="12.75">
      <c r="W782" s="329"/>
    </row>
    <row r="783" ht="12.75">
      <c r="W783" s="329"/>
    </row>
    <row r="784" ht="12.75">
      <c r="W784" s="329"/>
    </row>
    <row r="785" ht="12.75">
      <c r="W785" s="329"/>
    </row>
    <row r="786" ht="12.75">
      <c r="W786" s="329"/>
    </row>
    <row r="787" ht="12.75">
      <c r="W787" s="329"/>
    </row>
    <row r="788" ht="12.75">
      <c r="W788" s="329"/>
    </row>
    <row r="789" ht="12.75">
      <c r="W789" s="329"/>
    </row>
    <row r="790" ht="12.75">
      <c r="W790" s="329"/>
    </row>
    <row r="791" ht="12.75">
      <c r="W791" s="329"/>
    </row>
    <row r="792" ht="12.75">
      <c r="W792" s="329"/>
    </row>
    <row r="793" ht="12.75">
      <c r="W793" s="329"/>
    </row>
    <row r="794" ht="12.75">
      <c r="W794" s="329"/>
    </row>
    <row r="795" ht="12.75">
      <c r="W795" s="329"/>
    </row>
    <row r="796" ht="12.75">
      <c r="W796" s="329"/>
    </row>
    <row r="797" ht="12.75">
      <c r="W797" s="329"/>
    </row>
    <row r="798" ht="12.75">
      <c r="W798" s="329"/>
    </row>
    <row r="799" ht="12.75">
      <c r="W799" s="329"/>
    </row>
    <row r="800" ht="12.75">
      <c r="W800" s="329"/>
    </row>
    <row r="801" ht="12.75">
      <c r="W801" s="329"/>
    </row>
    <row r="802" ht="12.75">
      <c r="W802" s="329"/>
    </row>
    <row r="803" ht="12.75">
      <c r="W803" s="329"/>
    </row>
    <row r="804" ht="12.75">
      <c r="W804" s="329"/>
    </row>
    <row r="805" ht="12.75">
      <c r="W805" s="329"/>
    </row>
    <row r="806" ht="12.75">
      <c r="W806" s="329"/>
    </row>
    <row r="807" ht="12.75">
      <c r="W807" s="329"/>
    </row>
    <row r="808" ht="12.75">
      <c r="W808" s="329"/>
    </row>
    <row r="809" ht="12.75">
      <c r="W809" s="329"/>
    </row>
    <row r="810" ht="12.75">
      <c r="W810" s="329"/>
    </row>
    <row r="811" ht="12.75">
      <c r="W811" s="329"/>
    </row>
    <row r="812" ht="12.75">
      <c r="W812" s="329"/>
    </row>
    <row r="813" ht="12.75">
      <c r="W813" s="329"/>
    </row>
    <row r="814" ht="12.75">
      <c r="W814" s="329"/>
    </row>
    <row r="815" ht="12.75">
      <c r="W815" s="329"/>
    </row>
    <row r="816" ht="12.75">
      <c r="W816" s="329"/>
    </row>
    <row r="817" ht="12.75">
      <c r="W817" s="329"/>
    </row>
    <row r="818" ht="12.75">
      <c r="W818" s="329"/>
    </row>
    <row r="819" ht="12.75">
      <c r="W819" s="329"/>
    </row>
    <row r="820" ht="12.75">
      <c r="W820" s="329"/>
    </row>
    <row r="821" ht="12.75">
      <c r="W821" s="329"/>
    </row>
    <row r="822" ht="12.75">
      <c r="W822" s="329"/>
    </row>
    <row r="823" ht="12.75">
      <c r="W823" s="329"/>
    </row>
    <row r="824" ht="12.75">
      <c r="W824" s="329"/>
    </row>
    <row r="825" ht="12.75">
      <c r="W825" s="329"/>
    </row>
    <row r="826" ht="12.75">
      <c r="W826" s="329"/>
    </row>
    <row r="827" ht="12.75">
      <c r="W827" s="329"/>
    </row>
    <row r="828" ht="12.75">
      <c r="W828" s="329"/>
    </row>
    <row r="829" ht="12.75">
      <c r="W829" s="329"/>
    </row>
    <row r="830" ht="12.75">
      <c r="W830" s="329"/>
    </row>
    <row r="831" ht="12.75">
      <c r="W831" s="329"/>
    </row>
    <row r="832" ht="12.75">
      <c r="W832" s="329"/>
    </row>
    <row r="833" ht="12.75">
      <c r="W833" s="329"/>
    </row>
    <row r="834" ht="12.75">
      <c r="W834" s="329"/>
    </row>
    <row r="835" ht="12.75">
      <c r="W835" s="329"/>
    </row>
    <row r="836" ht="12.75">
      <c r="W836" s="329"/>
    </row>
    <row r="837" ht="12.75">
      <c r="W837" s="329"/>
    </row>
    <row r="838" ht="12.75">
      <c r="W838" s="329"/>
    </row>
    <row r="839" ht="12.75">
      <c r="W839" s="329"/>
    </row>
    <row r="840" ht="12.75">
      <c r="W840" s="329"/>
    </row>
    <row r="841" ht="12.75">
      <c r="W841" s="329"/>
    </row>
    <row r="842" ht="12.75">
      <c r="W842" s="329"/>
    </row>
    <row r="843" ht="12.75">
      <c r="W843" s="329"/>
    </row>
    <row r="844" ht="12.75">
      <c r="W844" s="329"/>
    </row>
    <row r="845" ht="12.75">
      <c r="W845" s="329"/>
    </row>
    <row r="846" ht="12.75">
      <c r="W846" s="329"/>
    </row>
    <row r="847" ht="12.75">
      <c r="W847" s="329"/>
    </row>
    <row r="848" ht="12.75">
      <c r="W848" s="329"/>
    </row>
    <row r="849" ht="12.75">
      <c r="W849" s="329"/>
    </row>
    <row r="850" ht="12.75">
      <c r="W850" s="329"/>
    </row>
    <row r="851" ht="12.75">
      <c r="W851" s="329"/>
    </row>
    <row r="852" ht="12.75">
      <c r="W852" s="329"/>
    </row>
    <row r="853" ht="12.75">
      <c r="W853" s="329"/>
    </row>
    <row r="854" ht="12.75">
      <c r="W854" s="329"/>
    </row>
    <row r="855" ht="12.75">
      <c r="W855" s="329"/>
    </row>
    <row r="856" ht="12.75">
      <c r="W856" s="329"/>
    </row>
    <row r="857" ht="12.75">
      <c r="W857" s="329"/>
    </row>
    <row r="858" ht="12.75">
      <c r="W858" s="329"/>
    </row>
    <row r="859" ht="12.75">
      <c r="W859" s="329"/>
    </row>
    <row r="860" ht="12.75">
      <c r="W860" s="329"/>
    </row>
    <row r="861" ht="12.75">
      <c r="W861" s="329"/>
    </row>
    <row r="862" ht="12.75">
      <c r="W862" s="329"/>
    </row>
    <row r="863" ht="12.75">
      <c r="W863" s="329"/>
    </row>
    <row r="864" ht="12.75">
      <c r="W864" s="329"/>
    </row>
    <row r="865" ht="12.75">
      <c r="W865" s="329"/>
    </row>
    <row r="866" ht="12.75">
      <c r="W866" s="329"/>
    </row>
    <row r="867" ht="12.75">
      <c r="W867" s="329"/>
    </row>
    <row r="868" ht="12.75">
      <c r="W868" s="329"/>
    </row>
    <row r="869" ht="12.75">
      <c r="W869" s="329"/>
    </row>
    <row r="870" ht="12.75">
      <c r="W870" s="329"/>
    </row>
    <row r="871" ht="12.75">
      <c r="W871" s="329"/>
    </row>
    <row r="872" ht="12.75">
      <c r="W872" s="329"/>
    </row>
    <row r="873" ht="12.75">
      <c r="W873" s="329"/>
    </row>
    <row r="874" ht="12.75">
      <c r="W874" s="329"/>
    </row>
    <row r="875" ht="12.75">
      <c r="W875" s="329"/>
    </row>
    <row r="876" ht="12.75">
      <c r="W876" s="329"/>
    </row>
    <row r="877" ht="12.75">
      <c r="W877" s="329"/>
    </row>
    <row r="878" ht="12.75">
      <c r="W878" s="329"/>
    </row>
    <row r="879" ht="12.75">
      <c r="W879" s="329"/>
    </row>
    <row r="880" ht="12.75">
      <c r="W880" s="329"/>
    </row>
    <row r="881" ht="12.75">
      <c r="W881" s="329"/>
    </row>
    <row r="882" ht="12.75">
      <c r="W882" s="329"/>
    </row>
    <row r="883" ht="12.75">
      <c r="W883" s="329"/>
    </row>
    <row r="884" ht="12.75">
      <c r="W884" s="329"/>
    </row>
    <row r="885" ht="12.75">
      <c r="W885" s="329"/>
    </row>
    <row r="886" ht="12.75">
      <c r="W886" s="329"/>
    </row>
    <row r="887" ht="12.75">
      <c r="W887" s="329"/>
    </row>
    <row r="888" ht="12.75">
      <c r="W888" s="329"/>
    </row>
    <row r="889" ht="12.75">
      <c r="W889" s="329"/>
    </row>
    <row r="890" ht="12.75">
      <c r="W890" s="329"/>
    </row>
    <row r="891" ht="12.75">
      <c r="W891" s="329"/>
    </row>
    <row r="892" ht="12.75">
      <c r="W892" s="329"/>
    </row>
    <row r="893" ht="12.75">
      <c r="W893" s="329"/>
    </row>
    <row r="894" ht="12.75">
      <c r="W894" s="329"/>
    </row>
    <row r="895" ht="12.75">
      <c r="W895" s="329"/>
    </row>
    <row r="896" ht="12.75">
      <c r="W896" s="329"/>
    </row>
    <row r="897" ht="12.75">
      <c r="W897" s="329"/>
    </row>
    <row r="898" ht="12.75">
      <c r="W898" s="329"/>
    </row>
    <row r="899" ht="12.75">
      <c r="W899" s="329"/>
    </row>
    <row r="900" ht="12.75">
      <c r="W900" s="329"/>
    </row>
    <row r="901" ht="12.75">
      <c r="W901" s="329"/>
    </row>
    <row r="902" ht="12.75">
      <c r="W902" s="329"/>
    </row>
    <row r="903" ht="12.75">
      <c r="W903" s="329"/>
    </row>
    <row r="904" ht="12.75">
      <c r="W904" s="329"/>
    </row>
    <row r="905" ht="12.75">
      <c r="W905" s="329"/>
    </row>
    <row r="906" ht="12.75">
      <c r="W906" s="329"/>
    </row>
    <row r="907" ht="12.75">
      <c r="W907" s="329"/>
    </row>
    <row r="908" ht="12.75">
      <c r="W908" s="329"/>
    </row>
    <row r="909" ht="12.75">
      <c r="W909" s="329"/>
    </row>
    <row r="910" ht="12.75">
      <c r="W910" s="329"/>
    </row>
    <row r="911" ht="12.75">
      <c r="W911" s="329"/>
    </row>
    <row r="912" ht="12.75">
      <c r="W912" s="329"/>
    </row>
    <row r="913" ht="12.75">
      <c r="W913" s="329"/>
    </row>
    <row r="914" ht="12.75">
      <c r="W914" s="329"/>
    </row>
    <row r="915" ht="12.75">
      <c r="W915" s="329"/>
    </row>
    <row r="916" ht="12.75">
      <c r="W916" s="329"/>
    </row>
    <row r="917" ht="12.75">
      <c r="W917" s="329"/>
    </row>
    <row r="918" ht="12.75">
      <c r="W918" s="329"/>
    </row>
    <row r="919" ht="12.75">
      <c r="W919" s="329"/>
    </row>
    <row r="920" ht="12.75">
      <c r="W920" s="329"/>
    </row>
    <row r="921" ht="12.75">
      <c r="W921" s="329"/>
    </row>
    <row r="922" ht="12.75">
      <c r="W922" s="329"/>
    </row>
    <row r="923" ht="12.75">
      <c r="W923" s="329"/>
    </row>
    <row r="924" ht="12.75">
      <c r="W924" s="329"/>
    </row>
    <row r="925" ht="12.75">
      <c r="W925" s="329"/>
    </row>
    <row r="926" ht="12.75">
      <c r="W926" s="329"/>
    </row>
    <row r="927" ht="12.75">
      <c r="W927" s="329"/>
    </row>
    <row r="928" ht="12.75">
      <c r="W928" s="329"/>
    </row>
    <row r="929" ht="12.75">
      <c r="W929" s="329"/>
    </row>
    <row r="930" ht="12.75">
      <c r="W930" s="329"/>
    </row>
    <row r="931" ht="12.75">
      <c r="W931" s="329"/>
    </row>
    <row r="932" ht="12.75">
      <c r="W932" s="329"/>
    </row>
    <row r="933" ht="12.75">
      <c r="W933" s="329"/>
    </row>
    <row r="934" ht="12.75">
      <c r="W934" s="329"/>
    </row>
    <row r="935" ht="12.75">
      <c r="W935" s="329"/>
    </row>
    <row r="936" ht="12.75">
      <c r="W936" s="329"/>
    </row>
    <row r="937" ht="12.75">
      <c r="W937" s="329"/>
    </row>
    <row r="938" ht="12.75">
      <c r="W938" s="329"/>
    </row>
    <row r="939" ht="12.75">
      <c r="W939" s="329"/>
    </row>
    <row r="940" ht="12.75">
      <c r="W940" s="329"/>
    </row>
    <row r="941" ht="12.75">
      <c r="W941" s="329"/>
    </row>
    <row r="942" ht="12.75">
      <c r="W942" s="329"/>
    </row>
    <row r="943" ht="12.75">
      <c r="W943" s="329"/>
    </row>
    <row r="944" ht="12.75">
      <c r="W944" s="329"/>
    </row>
    <row r="945" ht="12.75">
      <c r="W945" s="329"/>
    </row>
    <row r="946" ht="12.75">
      <c r="W946" s="329"/>
    </row>
    <row r="947" ht="12.75">
      <c r="W947" s="329"/>
    </row>
    <row r="948" ht="12.75">
      <c r="W948" s="329"/>
    </row>
    <row r="949" ht="12.75">
      <c r="W949" s="329"/>
    </row>
    <row r="950" ht="12.75">
      <c r="W950" s="329"/>
    </row>
    <row r="951" ht="12.75">
      <c r="W951" s="329"/>
    </row>
    <row r="952" ht="12.75">
      <c r="W952" s="329"/>
    </row>
    <row r="953" ht="12.75">
      <c r="W953" s="329"/>
    </row>
    <row r="954" ht="12.75">
      <c r="W954" s="329"/>
    </row>
    <row r="955" ht="12.75">
      <c r="W955" s="329"/>
    </row>
    <row r="956" ht="12.75">
      <c r="W956" s="329"/>
    </row>
    <row r="957" ht="12.75">
      <c r="W957" s="329"/>
    </row>
    <row r="958" ht="12.75">
      <c r="W958" s="329"/>
    </row>
    <row r="959" ht="12.75">
      <c r="W959" s="329"/>
    </row>
    <row r="960" ht="12.75">
      <c r="W960" s="329"/>
    </row>
    <row r="961" ht="12.75">
      <c r="W961" s="329"/>
    </row>
    <row r="962" ht="12.75">
      <c r="W962" s="329"/>
    </row>
    <row r="963" ht="12.75">
      <c r="W963" s="329"/>
    </row>
    <row r="964" ht="12.75">
      <c r="W964" s="329"/>
    </row>
    <row r="965" ht="12.75">
      <c r="W965" s="329"/>
    </row>
    <row r="966" ht="12.75">
      <c r="W966" s="329"/>
    </row>
    <row r="967" ht="12.75">
      <c r="W967" s="329"/>
    </row>
    <row r="968" ht="12.75">
      <c r="W968" s="329"/>
    </row>
    <row r="969" ht="12.75">
      <c r="W969" s="329"/>
    </row>
    <row r="970" ht="12.75">
      <c r="W970" s="329"/>
    </row>
    <row r="971" ht="12.75">
      <c r="W971" s="329"/>
    </row>
    <row r="972" ht="12.75">
      <c r="W972" s="329"/>
    </row>
    <row r="973" ht="12.75">
      <c r="W973" s="329"/>
    </row>
    <row r="974" ht="12.75">
      <c r="W974" s="329"/>
    </row>
    <row r="975" ht="12.75">
      <c r="W975" s="329"/>
    </row>
    <row r="976" ht="12.75">
      <c r="W976" s="329"/>
    </row>
    <row r="977" ht="12.75">
      <c r="W977" s="329"/>
    </row>
    <row r="978" ht="12.75">
      <c r="W978" s="329"/>
    </row>
    <row r="979" ht="12.75">
      <c r="W979" s="329"/>
    </row>
    <row r="980" ht="12.75">
      <c r="W980" s="329"/>
    </row>
    <row r="981" ht="12.75">
      <c r="W981" s="329"/>
    </row>
    <row r="982" ht="12.75">
      <c r="W982" s="329"/>
    </row>
    <row r="983" ht="12.75">
      <c r="W983" s="329"/>
    </row>
    <row r="984" ht="12.75">
      <c r="W984" s="329"/>
    </row>
    <row r="985" ht="12.75">
      <c r="W985" s="329"/>
    </row>
    <row r="986" ht="12.75">
      <c r="W986" s="329"/>
    </row>
    <row r="987" ht="12.75">
      <c r="W987" s="329"/>
    </row>
    <row r="988" ht="12.75">
      <c r="W988" s="329"/>
    </row>
    <row r="989" ht="12.75">
      <c r="W989" s="329"/>
    </row>
    <row r="990" ht="12.75">
      <c r="W990" s="329"/>
    </row>
    <row r="991" ht="12.75">
      <c r="W991" s="329"/>
    </row>
    <row r="992" ht="12.75">
      <c r="W992" s="329"/>
    </row>
    <row r="993" ht="12.75">
      <c r="W993" s="329"/>
    </row>
    <row r="994" ht="12.75">
      <c r="W994" s="329"/>
    </row>
    <row r="995" ht="12.75">
      <c r="W995" s="329"/>
    </row>
    <row r="996" ht="12.75">
      <c r="W996" s="329"/>
    </row>
    <row r="997" ht="12.75">
      <c r="W997" s="329"/>
    </row>
    <row r="998" ht="12.75">
      <c r="W998" s="329"/>
    </row>
    <row r="999" ht="12.75">
      <c r="W999" s="329"/>
    </row>
    <row r="1000" ht="12.75">
      <c r="W1000" s="329"/>
    </row>
    <row r="1001" ht="12.75">
      <c r="W1001" s="329"/>
    </row>
    <row r="1002" ht="12.75">
      <c r="W1002" s="329"/>
    </row>
    <row r="1003" ht="12.75">
      <c r="W1003" s="329"/>
    </row>
    <row r="1004" ht="12.75">
      <c r="W1004" s="329"/>
    </row>
    <row r="1005" ht="12.75">
      <c r="W1005" s="329"/>
    </row>
    <row r="1006" ht="12.75">
      <c r="W1006" s="329"/>
    </row>
    <row r="1007" ht="12.75">
      <c r="W1007" s="329"/>
    </row>
    <row r="1008" ht="12.75">
      <c r="W1008" s="329"/>
    </row>
    <row r="1009" ht="12.75">
      <c r="W1009" s="329"/>
    </row>
    <row r="1010" ht="12.75">
      <c r="W1010" s="329"/>
    </row>
    <row r="1011" ht="12.75">
      <c r="W1011" s="329"/>
    </row>
    <row r="1012" ht="12.75">
      <c r="W1012" s="329"/>
    </row>
    <row r="1013" ht="12.75">
      <c r="W1013" s="329"/>
    </row>
    <row r="1014" ht="12.75">
      <c r="W1014" s="329"/>
    </row>
    <row r="1015" ht="12.75">
      <c r="W1015" s="329"/>
    </row>
    <row r="1016" ht="12.75">
      <c r="W1016" s="329"/>
    </row>
    <row r="1017" ht="12.75">
      <c r="W1017" s="329"/>
    </row>
    <row r="1018" ht="12.75">
      <c r="W1018" s="329"/>
    </row>
    <row r="1019" ht="12.75">
      <c r="W1019" s="329"/>
    </row>
    <row r="1020" ht="12.75">
      <c r="W1020" s="329"/>
    </row>
    <row r="1021" ht="12.75">
      <c r="W1021" s="329"/>
    </row>
    <row r="1022" ht="12.75">
      <c r="W1022" s="329"/>
    </row>
    <row r="1023" ht="12.75">
      <c r="W1023" s="329"/>
    </row>
    <row r="1024" ht="12.75">
      <c r="W1024" s="329"/>
    </row>
    <row r="1025" ht="12.75">
      <c r="W1025" s="329"/>
    </row>
    <row r="1026" ht="12.75">
      <c r="W1026" s="329"/>
    </row>
    <row r="1027" ht="12.75">
      <c r="W1027" s="329"/>
    </row>
    <row r="1028" ht="12.75">
      <c r="W1028" s="329"/>
    </row>
    <row r="1029" ht="12.75">
      <c r="W1029" s="329"/>
    </row>
    <row r="1030" ht="12.75">
      <c r="W1030" s="329"/>
    </row>
    <row r="1031" ht="12.75">
      <c r="W1031" s="329"/>
    </row>
    <row r="1032" ht="12.75">
      <c r="W1032" s="329"/>
    </row>
    <row r="1033" ht="12.75">
      <c r="W1033" s="329"/>
    </row>
    <row r="1034" ht="12.75">
      <c r="W1034" s="329"/>
    </row>
    <row r="1035" ht="12.75">
      <c r="W1035" s="329"/>
    </row>
    <row r="1036" ht="12.75">
      <c r="W1036" s="329"/>
    </row>
    <row r="1037" ht="12.75">
      <c r="W1037" s="329"/>
    </row>
    <row r="1038" ht="12.75">
      <c r="W1038" s="329"/>
    </row>
    <row r="1039" ht="12.75">
      <c r="W1039" s="329"/>
    </row>
    <row r="1040" ht="12.75">
      <c r="W1040" s="329"/>
    </row>
    <row r="1041" ht="12.75">
      <c r="W1041" s="329"/>
    </row>
    <row r="1042" ht="12.75">
      <c r="W1042" s="329"/>
    </row>
    <row r="1043" ht="12.75">
      <c r="W1043" s="329"/>
    </row>
    <row r="1044" ht="12.75">
      <c r="W1044" s="329"/>
    </row>
    <row r="1045" ht="12.75">
      <c r="W1045" s="329"/>
    </row>
    <row r="1046" ht="12.75">
      <c r="W1046" s="329"/>
    </row>
    <row r="1047" ht="12.75">
      <c r="W1047" s="329"/>
    </row>
    <row r="1048" ht="12.75">
      <c r="W1048" s="329"/>
    </row>
    <row r="1049" ht="12.75">
      <c r="W1049" s="329"/>
    </row>
    <row r="1050" ht="12.75">
      <c r="W1050" s="329"/>
    </row>
    <row r="1051" ht="12.75">
      <c r="W1051" s="329"/>
    </row>
    <row r="1052" ht="12.75">
      <c r="W1052" s="329"/>
    </row>
    <row r="1053" ht="12.75">
      <c r="W1053" s="329"/>
    </row>
    <row r="1054" ht="12.75">
      <c r="W1054" s="329"/>
    </row>
    <row r="1055" ht="12.75">
      <c r="W1055" s="329"/>
    </row>
    <row r="1056" ht="12.75">
      <c r="W1056" s="329"/>
    </row>
    <row r="1057" ht="12.75">
      <c r="W1057" s="329"/>
    </row>
    <row r="1058" ht="12.75">
      <c r="W1058" s="329"/>
    </row>
    <row r="1059" ht="12.75">
      <c r="W1059" s="329"/>
    </row>
    <row r="1060" ht="12.75">
      <c r="W1060" s="329"/>
    </row>
    <row r="1061" ht="12.75">
      <c r="W1061" s="329"/>
    </row>
    <row r="1062" ht="12.75">
      <c r="W1062" s="329"/>
    </row>
    <row r="1063" ht="12.75">
      <c r="W1063" s="329"/>
    </row>
    <row r="1064" ht="12.75">
      <c r="W1064" s="329"/>
    </row>
    <row r="1065" ht="12.75">
      <c r="W1065" s="329"/>
    </row>
    <row r="1066" ht="12.75">
      <c r="W1066" s="329"/>
    </row>
    <row r="1067" ht="12.75">
      <c r="W1067" s="329"/>
    </row>
    <row r="1068" ht="12.75">
      <c r="W1068" s="329"/>
    </row>
    <row r="1069" ht="12.75">
      <c r="W1069" s="329"/>
    </row>
    <row r="1070" ht="12.75">
      <c r="W1070" s="329"/>
    </row>
    <row r="1071" ht="12.75">
      <c r="W1071" s="329"/>
    </row>
    <row r="1072" ht="12.75">
      <c r="W1072" s="329"/>
    </row>
    <row r="1073" ht="12.75">
      <c r="W1073" s="329"/>
    </row>
    <row r="1074" ht="12.75">
      <c r="W1074" s="329"/>
    </row>
    <row r="1075" ht="12.75">
      <c r="W1075" s="329"/>
    </row>
    <row r="1076" ht="12.75">
      <c r="W1076" s="329"/>
    </row>
    <row r="1077" ht="12.75">
      <c r="W1077" s="329"/>
    </row>
    <row r="1078" ht="12.75">
      <c r="W1078" s="329"/>
    </row>
    <row r="1079" ht="12.75">
      <c r="W1079" s="329"/>
    </row>
    <row r="1080" ht="12.75">
      <c r="W1080" s="329"/>
    </row>
    <row r="1081" ht="12.75">
      <c r="W1081" s="329"/>
    </row>
    <row r="1082" ht="12.75">
      <c r="W1082" s="329"/>
    </row>
    <row r="1083" ht="12.75">
      <c r="W1083" s="329"/>
    </row>
    <row r="1084" ht="12.75">
      <c r="W1084" s="329"/>
    </row>
    <row r="1085" ht="12.75">
      <c r="W1085" s="329"/>
    </row>
    <row r="1086" ht="12.75">
      <c r="W1086" s="329"/>
    </row>
    <row r="1087" ht="12.75">
      <c r="W1087" s="329"/>
    </row>
    <row r="1088" ht="12.75">
      <c r="W1088" s="329"/>
    </row>
    <row r="1089" ht="12.75">
      <c r="W1089" s="329"/>
    </row>
    <row r="1090" ht="12.75">
      <c r="W1090" s="329"/>
    </row>
    <row r="1091" ht="12.75">
      <c r="W1091" s="329"/>
    </row>
    <row r="1092" ht="12.75">
      <c r="W1092" s="329"/>
    </row>
    <row r="1093" ht="12.75">
      <c r="W1093" s="329"/>
    </row>
    <row r="1094" ht="12.75">
      <c r="W1094" s="329"/>
    </row>
    <row r="1095" ht="12.75">
      <c r="W1095" s="329"/>
    </row>
    <row r="1096" ht="12.75">
      <c r="W1096" s="329"/>
    </row>
    <row r="1097" ht="12.75">
      <c r="W1097" s="329"/>
    </row>
    <row r="1098" ht="12.75">
      <c r="W1098" s="329"/>
    </row>
    <row r="1099" ht="12.75">
      <c r="W1099" s="329"/>
    </row>
    <row r="1100" ht="12.75">
      <c r="W1100" s="329"/>
    </row>
    <row r="1101" ht="12.75">
      <c r="W1101" s="329"/>
    </row>
    <row r="1102" ht="12.75">
      <c r="W1102" s="329"/>
    </row>
    <row r="1103" ht="12.75">
      <c r="W1103" s="329"/>
    </row>
    <row r="1104" ht="12.75">
      <c r="W1104" s="329"/>
    </row>
    <row r="1105" ht="12.75">
      <c r="W1105" s="329"/>
    </row>
    <row r="1106" ht="12.75">
      <c r="W1106" s="329"/>
    </row>
    <row r="1107" ht="12.75">
      <c r="W1107" s="329"/>
    </row>
    <row r="1108" ht="12.75">
      <c r="W1108" s="329"/>
    </row>
    <row r="1109" ht="12.75">
      <c r="W1109" s="329"/>
    </row>
    <row r="1110" ht="12.75">
      <c r="W1110" s="329"/>
    </row>
    <row r="1111" ht="12.75">
      <c r="W1111" s="329"/>
    </row>
    <row r="1112" ht="12.75">
      <c r="W1112" s="329"/>
    </row>
    <row r="1113" ht="12.75">
      <c r="W1113" s="329"/>
    </row>
    <row r="1114" ht="12.75">
      <c r="W1114" s="329"/>
    </row>
    <row r="1115" ht="12.75">
      <c r="W1115" s="329"/>
    </row>
    <row r="1116" ht="12.75">
      <c r="W1116" s="329"/>
    </row>
    <row r="1117" ht="12.75">
      <c r="W1117" s="329"/>
    </row>
    <row r="1118" ht="12.75">
      <c r="W1118" s="329"/>
    </row>
    <row r="1119" ht="12.75">
      <c r="W1119" s="329"/>
    </row>
    <row r="1120" ht="12.75">
      <c r="W1120" s="329"/>
    </row>
    <row r="1121" ht="12.75">
      <c r="W1121" s="329"/>
    </row>
    <row r="1122" ht="12.75">
      <c r="W1122" s="329"/>
    </row>
    <row r="1123" ht="12.75">
      <c r="W1123" s="329"/>
    </row>
    <row r="1124" ht="12.75">
      <c r="W1124" s="329"/>
    </row>
    <row r="1125" ht="12.75">
      <c r="W1125" s="329"/>
    </row>
    <row r="1126" ht="12.75">
      <c r="W1126" s="329"/>
    </row>
    <row r="1127" ht="12.75">
      <c r="W1127" s="329"/>
    </row>
    <row r="1128" ht="12.75">
      <c r="W1128" s="329"/>
    </row>
    <row r="1129" ht="12.75">
      <c r="W1129" s="329"/>
    </row>
    <row r="1130" ht="12.75">
      <c r="W1130" s="329"/>
    </row>
    <row r="1131" ht="12.75">
      <c r="W1131" s="329"/>
    </row>
    <row r="1132" ht="12.75">
      <c r="W1132" s="329"/>
    </row>
    <row r="1133" ht="12.75">
      <c r="W1133" s="329"/>
    </row>
    <row r="1134" ht="12.75">
      <c r="W1134" s="329"/>
    </row>
    <row r="1135" ht="12.75">
      <c r="W1135" s="329"/>
    </row>
    <row r="1136" ht="12.75">
      <c r="W1136" s="329"/>
    </row>
    <row r="1137" ht="12.75">
      <c r="W1137" s="329"/>
    </row>
    <row r="1138" ht="12.75">
      <c r="W1138" s="329"/>
    </row>
    <row r="1139" ht="12.75">
      <c r="W1139" s="329"/>
    </row>
    <row r="1140" ht="12.75">
      <c r="W1140" s="329"/>
    </row>
    <row r="1141" ht="12.75">
      <c r="W1141" s="329"/>
    </row>
    <row r="1142" ht="12.75">
      <c r="W1142" s="329"/>
    </row>
    <row r="1143" ht="12.75">
      <c r="W1143" s="329"/>
    </row>
    <row r="1144" ht="12.75">
      <c r="W1144" s="329"/>
    </row>
    <row r="1145" ht="12.75">
      <c r="W1145" s="329"/>
    </row>
    <row r="1146" ht="12.75">
      <c r="W1146" s="329"/>
    </row>
    <row r="1147" ht="12.75">
      <c r="W1147" s="329"/>
    </row>
    <row r="1148" ht="12.75">
      <c r="W1148" s="329"/>
    </row>
    <row r="1149" ht="12.75">
      <c r="W1149" s="329"/>
    </row>
    <row r="1150" ht="12.75">
      <c r="W1150" s="329"/>
    </row>
    <row r="1151" ht="12.75">
      <c r="W1151" s="329"/>
    </row>
    <row r="1152" ht="12.75">
      <c r="W1152" s="329"/>
    </row>
    <row r="1153" ht="12.75">
      <c r="W1153" s="329"/>
    </row>
    <row r="1154" ht="12.75">
      <c r="W1154" s="329"/>
    </row>
    <row r="1155" ht="12.75">
      <c r="W1155" s="329"/>
    </row>
    <row r="1156" ht="12.75">
      <c r="W1156" s="329"/>
    </row>
    <row r="1157" ht="12.75">
      <c r="W1157" s="329"/>
    </row>
    <row r="1158" ht="12.75">
      <c r="W1158" s="329"/>
    </row>
    <row r="1159" ht="12.75">
      <c r="W1159" s="329"/>
    </row>
    <row r="1160" ht="12.75">
      <c r="W1160" s="329"/>
    </row>
    <row r="1161" ht="12.75">
      <c r="W1161" s="329"/>
    </row>
    <row r="1162" ht="12.75">
      <c r="W1162" s="329"/>
    </row>
    <row r="1163" ht="12.75">
      <c r="W1163" s="329"/>
    </row>
    <row r="1164" ht="12.75">
      <c r="W1164" s="329"/>
    </row>
    <row r="1165" ht="12.75">
      <c r="W1165" s="329"/>
    </row>
    <row r="1166" ht="12.75">
      <c r="W1166" s="329"/>
    </row>
    <row r="1167" ht="12.75">
      <c r="W1167" s="329"/>
    </row>
    <row r="1168" ht="12.75">
      <c r="W1168" s="329"/>
    </row>
    <row r="1169" ht="12.75">
      <c r="W1169" s="329"/>
    </row>
    <row r="1170" ht="12.75">
      <c r="W1170" s="329"/>
    </row>
    <row r="1171" ht="12.75">
      <c r="W1171" s="329"/>
    </row>
    <row r="1172" ht="12.75">
      <c r="W1172" s="329"/>
    </row>
    <row r="1173" ht="12.75">
      <c r="W1173" s="329"/>
    </row>
    <row r="1174" ht="12.75">
      <c r="W1174" s="329"/>
    </row>
    <row r="1175" ht="12.75">
      <c r="W1175" s="329"/>
    </row>
    <row r="1176" ht="12.75">
      <c r="W1176" s="329"/>
    </row>
    <row r="1177" ht="12.75">
      <c r="W1177" s="329"/>
    </row>
    <row r="1178" ht="12.75">
      <c r="W1178" s="329"/>
    </row>
    <row r="1179" ht="12.75">
      <c r="W1179" s="329"/>
    </row>
    <row r="1180" ht="12.75">
      <c r="W1180" s="329"/>
    </row>
    <row r="1181" ht="12.75">
      <c r="W1181" s="329"/>
    </row>
    <row r="1182" ht="12.75">
      <c r="W1182" s="329"/>
    </row>
    <row r="1183" ht="12.75">
      <c r="W1183" s="329"/>
    </row>
    <row r="1184" ht="12.75">
      <c r="W1184" s="329"/>
    </row>
    <row r="1185" ht="12.75">
      <c r="W1185" s="329"/>
    </row>
    <row r="1186" ht="12.75">
      <c r="W1186" s="329"/>
    </row>
    <row r="1187" ht="12.75">
      <c r="W1187" s="329"/>
    </row>
    <row r="1188" ht="12.75">
      <c r="W1188" s="329"/>
    </row>
    <row r="1189" ht="12.75">
      <c r="W1189" s="329"/>
    </row>
    <row r="1190" ht="12.75">
      <c r="W1190" s="329"/>
    </row>
    <row r="1191" ht="12.75">
      <c r="W1191" s="329"/>
    </row>
    <row r="1192" ht="12.75">
      <c r="W1192" s="329"/>
    </row>
    <row r="1193" ht="12.75">
      <c r="W1193" s="329"/>
    </row>
    <row r="1194" ht="12.75">
      <c r="W1194" s="329"/>
    </row>
    <row r="1195" ht="12.75">
      <c r="W1195" s="329"/>
    </row>
    <row r="1196" ht="12.75">
      <c r="W1196" s="329"/>
    </row>
    <row r="1197" ht="12.75">
      <c r="W1197" s="329"/>
    </row>
    <row r="1198" ht="12.75">
      <c r="W1198" s="329"/>
    </row>
    <row r="1199" ht="12.75">
      <c r="W1199" s="329"/>
    </row>
    <row r="1200" ht="12.75">
      <c r="W1200" s="329"/>
    </row>
    <row r="1201" ht="12.75">
      <c r="W1201" s="329"/>
    </row>
    <row r="1202" ht="12.75">
      <c r="W1202" s="329"/>
    </row>
    <row r="1203" ht="12.75">
      <c r="W1203" s="329"/>
    </row>
    <row r="1204" ht="12.75">
      <c r="W1204" s="329"/>
    </row>
    <row r="1205" ht="12.75">
      <c r="W1205" s="329"/>
    </row>
    <row r="1206" ht="12.75">
      <c r="W1206" s="329"/>
    </row>
    <row r="1207" ht="12.75">
      <c r="W1207" s="329"/>
    </row>
    <row r="1208" ht="12.75">
      <c r="W1208" s="329"/>
    </row>
    <row r="1209" ht="12.75">
      <c r="W1209" s="329"/>
    </row>
    <row r="1210" ht="12.75">
      <c r="W1210" s="329"/>
    </row>
    <row r="1211" ht="12.75">
      <c r="W1211" s="329"/>
    </row>
    <row r="1212" ht="12.75">
      <c r="W1212" s="329"/>
    </row>
    <row r="1213" ht="12.75">
      <c r="W1213" s="329"/>
    </row>
    <row r="1214" ht="12.75">
      <c r="W1214" s="329"/>
    </row>
    <row r="1215" ht="12.75">
      <c r="W1215" s="329"/>
    </row>
    <row r="1216" ht="12.75">
      <c r="W1216" s="329"/>
    </row>
    <row r="1217" ht="12.75">
      <c r="W1217" s="329"/>
    </row>
    <row r="1218" ht="12.75">
      <c r="W1218" s="329"/>
    </row>
    <row r="1219" ht="12.75">
      <c r="W1219" s="329"/>
    </row>
    <row r="1220" ht="12.75">
      <c r="W1220" s="329"/>
    </row>
    <row r="1221" ht="12.75">
      <c r="W1221" s="329"/>
    </row>
    <row r="1222" ht="12.75">
      <c r="W1222" s="329"/>
    </row>
    <row r="1223" ht="12.75">
      <c r="W1223" s="329"/>
    </row>
    <row r="1224" ht="12.75">
      <c r="W1224" s="329"/>
    </row>
    <row r="1225" ht="12.75">
      <c r="W1225" s="329"/>
    </row>
    <row r="1226" ht="12.75">
      <c r="W1226" s="329"/>
    </row>
    <row r="1227" ht="12.75">
      <c r="W1227" s="329"/>
    </row>
    <row r="1228" ht="12.75">
      <c r="W1228" s="329"/>
    </row>
    <row r="1229" ht="12.75">
      <c r="W1229" s="329"/>
    </row>
    <row r="1230" ht="12.75">
      <c r="W1230" s="329"/>
    </row>
    <row r="1231" ht="12.75">
      <c r="W1231" s="329"/>
    </row>
    <row r="1232" ht="12.75">
      <c r="W1232" s="329"/>
    </row>
    <row r="1233" ht="12.75">
      <c r="W1233" s="329"/>
    </row>
    <row r="1234" ht="12.75">
      <c r="W1234" s="329"/>
    </row>
    <row r="1235" ht="12.75">
      <c r="W1235" s="329"/>
    </row>
    <row r="1236" ht="12.75">
      <c r="W1236" s="329"/>
    </row>
    <row r="1237" ht="12.75">
      <c r="W1237" s="329"/>
    </row>
    <row r="1238" ht="12.75">
      <c r="W1238" s="329"/>
    </row>
    <row r="1239" ht="12.75">
      <c r="W1239" s="329"/>
    </row>
    <row r="1240" ht="12.75">
      <c r="W1240" s="329"/>
    </row>
    <row r="1241" ht="12.75">
      <c r="W1241" s="329"/>
    </row>
    <row r="1242" ht="12.75">
      <c r="W1242" s="329"/>
    </row>
    <row r="1243" ht="12.75">
      <c r="W1243" s="329"/>
    </row>
    <row r="1244" ht="12.75">
      <c r="W1244" s="329"/>
    </row>
    <row r="1245" ht="12.75">
      <c r="W1245" s="329"/>
    </row>
    <row r="1246" ht="12.75">
      <c r="W1246" s="329"/>
    </row>
    <row r="1247" ht="12.75">
      <c r="W1247" s="329"/>
    </row>
    <row r="1248" ht="12.75">
      <c r="W1248" s="329"/>
    </row>
    <row r="1249" ht="12.75">
      <c r="W1249" s="329"/>
    </row>
    <row r="1250" ht="12.75">
      <c r="W1250" s="329"/>
    </row>
    <row r="1251" ht="12.75">
      <c r="W1251" s="329"/>
    </row>
    <row r="1252" ht="12.75">
      <c r="W1252" s="329"/>
    </row>
    <row r="1253" ht="12.75">
      <c r="W1253" s="329"/>
    </row>
    <row r="1254" ht="12.75">
      <c r="W1254" s="329"/>
    </row>
    <row r="1255" ht="12.75">
      <c r="W1255" s="329"/>
    </row>
    <row r="1256" ht="12.75">
      <c r="W1256" s="329"/>
    </row>
    <row r="1257" ht="12.75">
      <c r="W1257" s="329"/>
    </row>
    <row r="1258" ht="12.75">
      <c r="W1258" s="329"/>
    </row>
    <row r="1259" ht="12.75">
      <c r="W1259" s="329"/>
    </row>
    <row r="1260" ht="12.75">
      <c r="W1260" s="329"/>
    </row>
    <row r="1261" ht="12.75">
      <c r="W1261" s="329"/>
    </row>
    <row r="1262" ht="12.75">
      <c r="W1262" s="329"/>
    </row>
    <row r="1263" ht="12.75">
      <c r="W1263" s="329"/>
    </row>
    <row r="1264" ht="12.75">
      <c r="W1264" s="329"/>
    </row>
    <row r="1265" ht="12.75">
      <c r="W1265" s="329"/>
    </row>
    <row r="1266" ht="12.75">
      <c r="W1266" s="329"/>
    </row>
    <row r="1267" ht="12.75">
      <c r="W1267" s="329"/>
    </row>
    <row r="1268" ht="12.75">
      <c r="W1268" s="329"/>
    </row>
    <row r="1269" ht="12.75">
      <c r="W1269" s="329"/>
    </row>
    <row r="1270" ht="12.75">
      <c r="W1270" s="329"/>
    </row>
    <row r="1271" ht="12.75">
      <c r="W1271" s="329"/>
    </row>
    <row r="1272" ht="12.75">
      <c r="W1272" s="329"/>
    </row>
    <row r="1273" ht="12.75">
      <c r="W1273" s="329"/>
    </row>
    <row r="1274" ht="12.75">
      <c r="W1274" s="329"/>
    </row>
    <row r="1275" ht="12.75">
      <c r="W1275" s="329"/>
    </row>
    <row r="1276" ht="12.75">
      <c r="W1276" s="329"/>
    </row>
    <row r="1277" ht="12.75">
      <c r="W1277" s="329"/>
    </row>
    <row r="1278" ht="12.75">
      <c r="W1278" s="329"/>
    </row>
    <row r="1279" ht="12.75">
      <c r="W1279" s="329"/>
    </row>
    <row r="1280" ht="12.75">
      <c r="W1280" s="329"/>
    </row>
    <row r="1281" ht="12.75">
      <c r="W1281" s="329"/>
    </row>
    <row r="1282" ht="12.75">
      <c r="W1282" s="329"/>
    </row>
    <row r="1283" ht="12.75">
      <c r="W1283" s="329"/>
    </row>
    <row r="1284" ht="12.75">
      <c r="W1284" s="329"/>
    </row>
    <row r="1285" ht="12.75">
      <c r="W1285" s="329"/>
    </row>
    <row r="1286" ht="12.75">
      <c r="W1286" s="329"/>
    </row>
    <row r="1287" ht="12.75">
      <c r="W1287" s="329"/>
    </row>
    <row r="1288" ht="12.75">
      <c r="W1288" s="329"/>
    </row>
    <row r="1289" ht="12.75">
      <c r="W1289" s="329"/>
    </row>
    <row r="1290" ht="12.75">
      <c r="W1290" s="329"/>
    </row>
    <row r="1291" ht="12.75">
      <c r="W1291" s="329"/>
    </row>
    <row r="1292" ht="12.75">
      <c r="W1292" s="329"/>
    </row>
    <row r="1293" ht="12.75">
      <c r="W1293" s="329"/>
    </row>
    <row r="1294" ht="12.75">
      <c r="W1294" s="329"/>
    </row>
    <row r="1295" ht="12.75">
      <c r="W1295" s="329"/>
    </row>
    <row r="1296" ht="12.75">
      <c r="W1296" s="329"/>
    </row>
    <row r="1297" ht="12.75">
      <c r="W1297" s="329"/>
    </row>
    <row r="1298" ht="12.75">
      <c r="W1298" s="329"/>
    </row>
    <row r="1299" ht="12.75">
      <c r="W1299" s="329"/>
    </row>
    <row r="1300" ht="12.75">
      <c r="W1300" s="329"/>
    </row>
    <row r="1301" ht="12.75">
      <c r="W1301" s="329"/>
    </row>
    <row r="1302" ht="12.75">
      <c r="W1302" s="329"/>
    </row>
    <row r="1303" ht="12.75">
      <c r="W1303" s="329"/>
    </row>
    <row r="1304" ht="12.75">
      <c r="W1304" s="329"/>
    </row>
    <row r="1305" ht="12.75">
      <c r="W1305" s="329"/>
    </row>
    <row r="1306" ht="12.75">
      <c r="W1306" s="329"/>
    </row>
    <row r="1307" ht="12.75">
      <c r="W1307" s="329"/>
    </row>
    <row r="1308" ht="12.75">
      <c r="W1308" s="329"/>
    </row>
    <row r="1309" ht="12.75">
      <c r="W1309" s="329"/>
    </row>
    <row r="1310" ht="12.75">
      <c r="W1310" s="329"/>
    </row>
    <row r="1311" ht="12.75">
      <c r="W1311" s="329"/>
    </row>
    <row r="1312" ht="12.75">
      <c r="W1312" s="329"/>
    </row>
    <row r="1313" ht="12.75">
      <c r="W1313" s="329"/>
    </row>
    <row r="1314" ht="12.75">
      <c r="W1314" s="329"/>
    </row>
    <row r="1315" ht="12.75">
      <c r="W1315" s="329"/>
    </row>
    <row r="1316" ht="12.75">
      <c r="W1316" s="329"/>
    </row>
    <row r="1317" ht="12.75">
      <c r="W1317" s="329"/>
    </row>
    <row r="1318" ht="12.75">
      <c r="W1318" s="329"/>
    </row>
    <row r="1319" ht="12.75">
      <c r="W1319" s="329"/>
    </row>
    <row r="1320" ht="12.75">
      <c r="W1320" s="329"/>
    </row>
    <row r="1321" ht="12.75">
      <c r="W1321" s="329"/>
    </row>
    <row r="1322" ht="12.75">
      <c r="W1322" s="329"/>
    </row>
    <row r="1323" ht="12.75">
      <c r="W1323" s="329"/>
    </row>
    <row r="1324" ht="12.75">
      <c r="W1324" s="329"/>
    </row>
    <row r="1325" ht="12.75">
      <c r="W1325" s="329"/>
    </row>
    <row r="1326" ht="12.75">
      <c r="W1326" s="329"/>
    </row>
    <row r="1327" ht="12.75">
      <c r="W1327" s="329"/>
    </row>
    <row r="1328" ht="12.75">
      <c r="W1328" s="329"/>
    </row>
    <row r="1329" ht="12.75">
      <c r="W1329" s="329"/>
    </row>
    <row r="1330" ht="12.75">
      <c r="W1330" s="329"/>
    </row>
    <row r="1331" ht="12.75">
      <c r="W1331" s="329"/>
    </row>
    <row r="1332" ht="12.75">
      <c r="W1332" s="329"/>
    </row>
    <row r="1333" ht="12.75">
      <c r="W1333" s="329"/>
    </row>
    <row r="1334" ht="12.75">
      <c r="W1334" s="329"/>
    </row>
    <row r="1335" ht="12.75">
      <c r="W1335" s="329"/>
    </row>
    <row r="1336" ht="12.75">
      <c r="W1336" s="329"/>
    </row>
    <row r="1337" ht="12.75">
      <c r="W1337" s="329"/>
    </row>
    <row r="1338" ht="12.75">
      <c r="W1338" s="329"/>
    </row>
    <row r="1339" ht="12.75">
      <c r="W1339" s="329"/>
    </row>
    <row r="1340" ht="12.75">
      <c r="W1340" s="329"/>
    </row>
    <row r="1341" ht="12.75">
      <c r="W1341" s="329"/>
    </row>
    <row r="1342" ht="12.75">
      <c r="W1342" s="329"/>
    </row>
    <row r="1343" ht="12.75">
      <c r="W1343" s="329"/>
    </row>
    <row r="1344" ht="12.75">
      <c r="W1344" s="329"/>
    </row>
    <row r="1345" ht="12.75">
      <c r="W1345" s="329"/>
    </row>
    <row r="1346" ht="12.75">
      <c r="W1346" s="329"/>
    </row>
    <row r="1347" ht="12.75">
      <c r="W1347" s="329"/>
    </row>
    <row r="1348" ht="12.75">
      <c r="W1348" s="329"/>
    </row>
    <row r="1349" ht="12.75">
      <c r="W1349" s="329"/>
    </row>
    <row r="1350" ht="12.75">
      <c r="W1350" s="329"/>
    </row>
    <row r="1351" ht="12.75">
      <c r="W1351" s="329"/>
    </row>
    <row r="1352" ht="12.75">
      <c r="W1352" s="329"/>
    </row>
    <row r="1353" ht="12.75">
      <c r="W1353" s="329"/>
    </row>
    <row r="1354" ht="12.75">
      <c r="W1354" s="329"/>
    </row>
    <row r="1355" ht="12.75">
      <c r="W1355" s="329"/>
    </row>
    <row r="1356" ht="12.75">
      <c r="W1356" s="329"/>
    </row>
    <row r="1357" ht="12.75">
      <c r="W1357" s="329"/>
    </row>
    <row r="1358" ht="12.75">
      <c r="W1358" s="329"/>
    </row>
    <row r="1359" ht="12.75">
      <c r="W1359" s="329"/>
    </row>
    <row r="1360" ht="12.75">
      <c r="W1360" s="329"/>
    </row>
    <row r="1361" ht="12.75">
      <c r="W1361" s="329"/>
    </row>
    <row r="1362" ht="12.75">
      <c r="W1362" s="329"/>
    </row>
    <row r="1363" ht="12.75">
      <c r="W1363" s="329"/>
    </row>
    <row r="1364" ht="12.75">
      <c r="W1364" s="329"/>
    </row>
    <row r="1365" ht="12.75">
      <c r="W1365" s="329"/>
    </row>
    <row r="1366" ht="12.75">
      <c r="W1366" s="329"/>
    </row>
    <row r="1367" ht="12.75">
      <c r="W1367" s="329"/>
    </row>
    <row r="1368" ht="12.75">
      <c r="W1368" s="329"/>
    </row>
    <row r="1369" ht="12.75">
      <c r="W1369" s="329"/>
    </row>
    <row r="1370" ht="12.75">
      <c r="W1370" s="329"/>
    </row>
    <row r="1371" ht="12.75">
      <c r="W1371" s="329"/>
    </row>
    <row r="1372" ht="12.75">
      <c r="W1372" s="329"/>
    </row>
    <row r="1373" ht="12.75">
      <c r="W1373" s="329"/>
    </row>
    <row r="1374" ht="12.75">
      <c r="W1374" s="329"/>
    </row>
    <row r="1375" ht="12.75">
      <c r="W1375" s="329"/>
    </row>
    <row r="1376" ht="12.75">
      <c r="W1376" s="329"/>
    </row>
    <row r="1377" ht="12.75">
      <c r="W1377" s="329"/>
    </row>
    <row r="1378" ht="12.75">
      <c r="W1378" s="329"/>
    </row>
    <row r="1379" ht="12.75">
      <c r="W1379" s="329"/>
    </row>
    <row r="1380" ht="12.75">
      <c r="W1380" s="329"/>
    </row>
    <row r="1381" ht="12.75">
      <c r="W1381" s="329"/>
    </row>
    <row r="1382" ht="12.75">
      <c r="W1382" s="329"/>
    </row>
    <row r="1383" ht="12.75">
      <c r="W1383" s="329"/>
    </row>
    <row r="1384" ht="12.75">
      <c r="W1384" s="329"/>
    </row>
    <row r="1385" ht="12.75">
      <c r="W1385" s="329"/>
    </row>
    <row r="1386" ht="12.75">
      <c r="W1386" s="329"/>
    </row>
    <row r="1387" ht="12.75">
      <c r="W1387" s="329"/>
    </row>
    <row r="1388" ht="12.75">
      <c r="W1388" s="329"/>
    </row>
    <row r="1389" ht="12.75">
      <c r="W1389" s="329"/>
    </row>
    <row r="1390" ht="12.75">
      <c r="W1390" s="329"/>
    </row>
    <row r="1391" ht="12.75">
      <c r="W1391" s="329"/>
    </row>
    <row r="1392" ht="12.75">
      <c r="W1392" s="329"/>
    </row>
    <row r="1393" ht="12.75">
      <c r="W1393" s="329"/>
    </row>
    <row r="1394" ht="12.75">
      <c r="W1394" s="329"/>
    </row>
    <row r="1395" ht="12.75">
      <c r="W1395" s="329"/>
    </row>
    <row r="1396" ht="12.75">
      <c r="W1396" s="329"/>
    </row>
    <row r="1397" ht="12.75">
      <c r="W1397" s="329"/>
    </row>
    <row r="1398" ht="12.75">
      <c r="W1398" s="329"/>
    </row>
    <row r="1399" ht="12.75">
      <c r="W1399" s="329"/>
    </row>
    <row r="1400" ht="12.75">
      <c r="W1400" s="329"/>
    </row>
    <row r="1401" ht="12.75">
      <c r="W1401" s="329"/>
    </row>
    <row r="1402" ht="12.75">
      <c r="W1402" s="329"/>
    </row>
    <row r="1403" ht="12.75">
      <c r="W1403" s="329"/>
    </row>
    <row r="1404" ht="12.75">
      <c r="W1404" s="329"/>
    </row>
    <row r="1405" ht="12.75">
      <c r="W1405" s="329"/>
    </row>
    <row r="1406" ht="12.75">
      <c r="W1406" s="329"/>
    </row>
    <row r="1407" ht="12.75">
      <c r="W1407" s="329"/>
    </row>
    <row r="1408" ht="12.75">
      <c r="W1408" s="329"/>
    </row>
    <row r="1409" ht="12.75">
      <c r="W1409" s="329"/>
    </row>
    <row r="1410" ht="12.75">
      <c r="W1410" s="329"/>
    </row>
    <row r="1411" ht="12.75">
      <c r="W1411" s="329"/>
    </row>
    <row r="1412" ht="12.75">
      <c r="W1412" s="329"/>
    </row>
    <row r="1413" ht="12.75">
      <c r="W1413" s="329"/>
    </row>
    <row r="1414" ht="12.75">
      <c r="W1414" s="329"/>
    </row>
    <row r="1415" ht="12.75">
      <c r="W1415" s="329"/>
    </row>
    <row r="1416" ht="12.75">
      <c r="W1416" s="329"/>
    </row>
    <row r="1417" ht="12.75">
      <c r="W1417" s="329"/>
    </row>
    <row r="1418" ht="12.75">
      <c r="W1418" s="329"/>
    </row>
    <row r="1419" ht="12.75">
      <c r="W1419" s="329"/>
    </row>
    <row r="1420" ht="12.75">
      <c r="W1420" s="329"/>
    </row>
    <row r="1421" ht="12.75">
      <c r="W1421" s="329"/>
    </row>
    <row r="1422" ht="12.75">
      <c r="W1422" s="329"/>
    </row>
    <row r="1423" ht="12.75">
      <c r="W1423" s="329"/>
    </row>
    <row r="1424" ht="12.75">
      <c r="W1424" s="329"/>
    </row>
    <row r="1425" ht="12.75">
      <c r="W1425" s="329"/>
    </row>
    <row r="1426" ht="12.75">
      <c r="W1426" s="329"/>
    </row>
    <row r="1427" ht="12.75">
      <c r="W1427" s="329"/>
    </row>
    <row r="1428" ht="12.75">
      <c r="W1428" s="329"/>
    </row>
    <row r="1429" ht="12.75">
      <c r="W1429" s="329"/>
    </row>
    <row r="1430" ht="12.75">
      <c r="W1430" s="329"/>
    </row>
    <row r="1431" ht="12.75">
      <c r="W1431" s="329"/>
    </row>
    <row r="1432" ht="12.75">
      <c r="W1432" s="329"/>
    </row>
    <row r="1433" ht="12.75">
      <c r="W1433" s="329"/>
    </row>
    <row r="1434" ht="12.75">
      <c r="W1434" s="329"/>
    </row>
    <row r="1435" ht="12.75">
      <c r="W1435" s="329"/>
    </row>
    <row r="1436" ht="12.75">
      <c r="W1436" s="329"/>
    </row>
    <row r="1437" ht="12.75">
      <c r="W1437" s="329"/>
    </row>
    <row r="1438" ht="12.75">
      <c r="W1438" s="329"/>
    </row>
    <row r="1439" ht="12.75">
      <c r="W1439" s="329"/>
    </row>
    <row r="1440" ht="12.75">
      <c r="W1440" s="329"/>
    </row>
    <row r="1441" ht="12.75">
      <c r="W1441" s="329"/>
    </row>
    <row r="1442" ht="12.75">
      <c r="W1442" s="329"/>
    </row>
    <row r="1443" ht="12.75">
      <c r="W1443" s="329"/>
    </row>
    <row r="1444" ht="12.75">
      <c r="W1444" s="329"/>
    </row>
    <row r="1445" ht="12.75">
      <c r="W1445" s="329"/>
    </row>
    <row r="1446" ht="12.75">
      <c r="W1446" s="329"/>
    </row>
    <row r="1447" ht="12.75">
      <c r="W1447" s="329"/>
    </row>
    <row r="1448" ht="12.75">
      <c r="W1448" s="329"/>
    </row>
    <row r="1449" ht="12.75">
      <c r="W1449" s="329"/>
    </row>
    <row r="1450" ht="12.75">
      <c r="W1450" s="329"/>
    </row>
    <row r="1451" ht="12.75">
      <c r="W1451" s="329"/>
    </row>
    <row r="1452" ht="12.75">
      <c r="W1452" s="329"/>
    </row>
    <row r="1453" ht="12.75">
      <c r="W1453" s="329"/>
    </row>
    <row r="1454" ht="12.75">
      <c r="W1454" s="329"/>
    </row>
    <row r="1455" ht="12.75">
      <c r="W1455" s="329"/>
    </row>
    <row r="1456" ht="12.75">
      <c r="W1456" s="329"/>
    </row>
    <row r="1457" ht="12.75">
      <c r="W1457" s="329"/>
    </row>
    <row r="1458" ht="12.75">
      <c r="W1458" s="329"/>
    </row>
    <row r="1459" ht="12.75">
      <c r="W1459" s="329"/>
    </row>
    <row r="1460" ht="12.75">
      <c r="W1460" s="329"/>
    </row>
    <row r="1461" ht="12.75">
      <c r="W1461" s="329"/>
    </row>
    <row r="1462" ht="12.75">
      <c r="W1462" s="329"/>
    </row>
    <row r="1463" ht="12.75">
      <c r="W1463" s="329"/>
    </row>
    <row r="1464" ht="12.75">
      <c r="W1464" s="329"/>
    </row>
    <row r="1465" ht="12.75">
      <c r="W1465" s="329"/>
    </row>
    <row r="1466" ht="12.75">
      <c r="W1466" s="329"/>
    </row>
    <row r="1467" ht="12.75">
      <c r="W1467" s="329"/>
    </row>
    <row r="1468" ht="12.75">
      <c r="W1468" s="329"/>
    </row>
    <row r="1469" ht="12.75">
      <c r="W1469" s="329"/>
    </row>
    <row r="1470" ht="12.75">
      <c r="W1470" s="329"/>
    </row>
    <row r="1471" ht="12.75">
      <c r="W1471" s="329"/>
    </row>
    <row r="1472" ht="12.75">
      <c r="W1472" s="329"/>
    </row>
    <row r="1473" ht="12.75">
      <c r="W1473" s="329"/>
    </row>
    <row r="1474" ht="12.75">
      <c r="W1474" s="329"/>
    </row>
    <row r="1475" ht="12.75">
      <c r="W1475" s="329"/>
    </row>
    <row r="1476" ht="12.75">
      <c r="W1476" s="329"/>
    </row>
    <row r="1477" ht="12.75">
      <c r="W1477" s="329"/>
    </row>
    <row r="1478" ht="12.75">
      <c r="W1478" s="329"/>
    </row>
    <row r="1479" ht="12.75">
      <c r="W1479" s="329"/>
    </row>
    <row r="1480" ht="12.75">
      <c r="W1480" s="329"/>
    </row>
    <row r="1481" ht="12.75">
      <c r="W1481" s="329"/>
    </row>
    <row r="1482" ht="12.75">
      <c r="W1482" s="329"/>
    </row>
    <row r="1483" ht="12.75">
      <c r="W1483" s="329"/>
    </row>
    <row r="1484" ht="12.75">
      <c r="W1484" s="329"/>
    </row>
    <row r="1485" ht="12.75">
      <c r="W1485" s="329"/>
    </row>
    <row r="1486" ht="12.75">
      <c r="W1486" s="329"/>
    </row>
    <row r="1487" ht="12.75">
      <c r="W1487" s="329"/>
    </row>
    <row r="1488" ht="12.75">
      <c r="W1488" s="329"/>
    </row>
    <row r="1489" ht="12.75">
      <c r="W1489" s="329"/>
    </row>
    <row r="1490" ht="12.75">
      <c r="W1490" s="329"/>
    </row>
    <row r="1491" ht="12.75">
      <c r="W1491" s="329"/>
    </row>
    <row r="1492" ht="12.75">
      <c r="W1492" s="329"/>
    </row>
    <row r="1493" ht="12.75">
      <c r="W1493" s="329"/>
    </row>
    <row r="1494" ht="12.75">
      <c r="W1494" s="329"/>
    </row>
    <row r="1495" ht="12.75">
      <c r="W1495" s="329"/>
    </row>
    <row r="1496" ht="12.75">
      <c r="W1496" s="329"/>
    </row>
    <row r="1497" ht="12.75">
      <c r="W1497" s="329"/>
    </row>
    <row r="1498" ht="12.75">
      <c r="W1498" s="329"/>
    </row>
    <row r="1499" ht="12.75">
      <c r="W1499" s="329"/>
    </row>
    <row r="1500" ht="12.75">
      <c r="W1500" s="329"/>
    </row>
    <row r="1501" ht="12.75">
      <c r="W1501" s="329"/>
    </row>
    <row r="1502" ht="12.75">
      <c r="W1502" s="329"/>
    </row>
    <row r="1503" ht="12.75">
      <c r="W1503" s="329"/>
    </row>
    <row r="1504" ht="12.75">
      <c r="W1504" s="329"/>
    </row>
    <row r="1505" ht="12.75">
      <c r="W1505" s="329"/>
    </row>
    <row r="1506" ht="12.75">
      <c r="W1506" s="329"/>
    </row>
    <row r="1507" ht="12.75">
      <c r="W1507" s="329"/>
    </row>
    <row r="1508" ht="12.75">
      <c r="W1508" s="329"/>
    </row>
    <row r="1509" ht="12.75">
      <c r="W1509" s="329"/>
    </row>
    <row r="1510" ht="12.75">
      <c r="W1510" s="329"/>
    </row>
    <row r="1511" ht="12.75">
      <c r="W1511" s="329"/>
    </row>
    <row r="1512" ht="12.75">
      <c r="W1512" s="329"/>
    </row>
    <row r="1513" ht="12.75">
      <c r="W1513" s="329"/>
    </row>
    <row r="1514" ht="12.75">
      <c r="W1514" s="329"/>
    </row>
    <row r="1515" ht="12.75">
      <c r="W1515" s="329"/>
    </row>
    <row r="1516" ht="12.75">
      <c r="W1516" s="329"/>
    </row>
    <row r="1517" ht="12.75">
      <c r="W1517" s="329"/>
    </row>
    <row r="1518" ht="12.75">
      <c r="W1518" s="329"/>
    </row>
    <row r="1519" ht="12.75">
      <c r="W1519" s="329"/>
    </row>
    <row r="1520" ht="12.75">
      <c r="W1520" s="329"/>
    </row>
    <row r="1521" ht="12.75">
      <c r="W1521" s="329"/>
    </row>
    <row r="1522" ht="12.75">
      <c r="W1522" s="329"/>
    </row>
    <row r="1523" ht="12.75">
      <c r="W1523" s="329"/>
    </row>
    <row r="1524" ht="12.75">
      <c r="W1524" s="329"/>
    </row>
    <row r="1525" ht="12.75">
      <c r="W1525" s="329"/>
    </row>
    <row r="1526" ht="12.75">
      <c r="W1526" s="329"/>
    </row>
    <row r="1527" ht="12.75">
      <c r="W1527" s="329"/>
    </row>
    <row r="1528" ht="12.75">
      <c r="W1528" s="329"/>
    </row>
    <row r="1529" ht="12.75">
      <c r="W1529" s="329"/>
    </row>
    <row r="1530" ht="12.75">
      <c r="W1530" s="329"/>
    </row>
    <row r="1531" ht="12.75">
      <c r="W1531" s="329"/>
    </row>
    <row r="1532" ht="12.75">
      <c r="W1532" s="329"/>
    </row>
    <row r="1533" ht="12.75">
      <c r="W1533" s="329"/>
    </row>
    <row r="1534" ht="12.75">
      <c r="W1534" s="329"/>
    </row>
    <row r="1535" ht="12.75">
      <c r="W1535" s="329"/>
    </row>
    <row r="1536" ht="12.75">
      <c r="W1536" s="329"/>
    </row>
    <row r="1537" ht="12.75">
      <c r="W1537" s="329"/>
    </row>
    <row r="1538" ht="12.75">
      <c r="W1538" s="329"/>
    </row>
    <row r="1539" ht="12.75">
      <c r="W1539" s="329"/>
    </row>
    <row r="1540" ht="12.75">
      <c r="W1540" s="329"/>
    </row>
    <row r="1541" ht="12.75">
      <c r="W1541" s="329"/>
    </row>
    <row r="1542" ht="12.75">
      <c r="W1542" s="329"/>
    </row>
    <row r="1543" ht="12.75">
      <c r="W1543" s="329"/>
    </row>
    <row r="1544" ht="12.75">
      <c r="W1544" s="329"/>
    </row>
    <row r="1545" ht="12.75">
      <c r="W1545" s="329"/>
    </row>
    <row r="1546" ht="12.75">
      <c r="W1546" s="329"/>
    </row>
    <row r="1547" ht="12.75">
      <c r="W1547" s="329"/>
    </row>
    <row r="1548" ht="12.75">
      <c r="W1548" s="329"/>
    </row>
    <row r="1549" ht="12.75">
      <c r="W1549" s="329"/>
    </row>
    <row r="1550" ht="12.75">
      <c r="W1550" s="329"/>
    </row>
    <row r="1551" ht="12.75">
      <c r="W1551" s="329"/>
    </row>
    <row r="1552" ht="12.75">
      <c r="W1552" s="329"/>
    </row>
    <row r="1553" ht="12.75">
      <c r="W1553" s="329"/>
    </row>
    <row r="1554" ht="12.75">
      <c r="W1554" s="329"/>
    </row>
    <row r="1555" ht="12.75">
      <c r="W1555" s="329"/>
    </row>
    <row r="1556" ht="12.75">
      <c r="W1556" s="329"/>
    </row>
    <row r="1557" ht="12.75">
      <c r="W1557" s="329"/>
    </row>
    <row r="1558" ht="12.75">
      <c r="W1558" s="329"/>
    </row>
    <row r="1559" ht="12.75">
      <c r="W1559" s="329"/>
    </row>
    <row r="1560" ht="12.75">
      <c r="W1560" s="329"/>
    </row>
    <row r="1561" ht="12.75">
      <c r="W1561" s="329"/>
    </row>
    <row r="1562" ht="12.75">
      <c r="W1562" s="329"/>
    </row>
    <row r="1563" ht="12.75">
      <c r="W1563" s="329"/>
    </row>
    <row r="1564" ht="12.75">
      <c r="W1564" s="329"/>
    </row>
    <row r="1565" ht="12.75">
      <c r="W1565" s="329"/>
    </row>
    <row r="1566" ht="12.75">
      <c r="W1566" s="329"/>
    </row>
    <row r="1567" ht="12.75">
      <c r="W1567" s="329"/>
    </row>
    <row r="1568" ht="12.75">
      <c r="W1568" s="329"/>
    </row>
    <row r="1569" ht="12.75">
      <c r="W1569" s="329"/>
    </row>
    <row r="1570" ht="12.75">
      <c r="W1570" s="329"/>
    </row>
    <row r="1571" ht="12.75">
      <c r="W1571" s="329"/>
    </row>
    <row r="1572" ht="12.75">
      <c r="W1572" s="329"/>
    </row>
    <row r="1573" ht="12.75">
      <c r="W1573" s="329"/>
    </row>
    <row r="1574" ht="12.75">
      <c r="W1574" s="329"/>
    </row>
    <row r="1575" ht="12.75">
      <c r="W1575" s="329"/>
    </row>
    <row r="1576" ht="12.75">
      <c r="W1576" s="329"/>
    </row>
    <row r="1577" ht="12.75">
      <c r="W1577" s="329"/>
    </row>
    <row r="1578" ht="12.75">
      <c r="W1578" s="329"/>
    </row>
    <row r="1579" ht="12.75">
      <c r="W1579" s="329"/>
    </row>
    <row r="1580" ht="12.75">
      <c r="W1580" s="329"/>
    </row>
    <row r="1581" ht="12.75">
      <c r="W1581" s="329"/>
    </row>
    <row r="1582" ht="12.75">
      <c r="W1582" s="329"/>
    </row>
    <row r="1583" ht="12.75">
      <c r="W1583" s="329"/>
    </row>
    <row r="1584" ht="12.75">
      <c r="W1584" s="329"/>
    </row>
    <row r="1585" ht="12.75">
      <c r="W1585" s="329"/>
    </row>
    <row r="1586" ht="12.75">
      <c r="W1586" s="329"/>
    </row>
    <row r="1587" ht="12.75">
      <c r="W1587" s="329"/>
    </row>
    <row r="1588" ht="12.75">
      <c r="W1588" s="329"/>
    </row>
    <row r="1589" ht="12.75">
      <c r="W1589" s="329"/>
    </row>
    <row r="1590" ht="12.75">
      <c r="W1590" s="329"/>
    </row>
    <row r="1591" ht="12.75">
      <c r="W1591" s="329"/>
    </row>
    <row r="1592" ht="12.75">
      <c r="W1592" s="329"/>
    </row>
    <row r="1593" ht="12.75">
      <c r="W1593" s="329"/>
    </row>
    <row r="1594" ht="12.75">
      <c r="W1594" s="329"/>
    </row>
    <row r="1595" ht="12.75">
      <c r="W1595" s="329"/>
    </row>
    <row r="1596" ht="12.75">
      <c r="W1596" s="329"/>
    </row>
    <row r="1597" ht="12.75">
      <c r="W1597" s="329"/>
    </row>
    <row r="1598" ht="12.75">
      <c r="W1598" s="329"/>
    </row>
    <row r="1599" ht="12.75">
      <c r="W1599" s="329"/>
    </row>
    <row r="1600" ht="12.75">
      <c r="W1600" s="329"/>
    </row>
    <row r="1601" ht="12.75">
      <c r="W1601" s="329"/>
    </row>
    <row r="1602" ht="12.75">
      <c r="W1602" s="329"/>
    </row>
    <row r="1603" ht="12.75">
      <c r="W1603" s="329"/>
    </row>
    <row r="1604" ht="12.75">
      <c r="W1604" s="329"/>
    </row>
    <row r="1605" ht="12.75">
      <c r="W1605" s="329"/>
    </row>
    <row r="1606" ht="12.75">
      <c r="W1606" s="329"/>
    </row>
    <row r="1607" ht="12.75">
      <c r="W1607" s="329"/>
    </row>
    <row r="1608" ht="12.75">
      <c r="W1608" s="329"/>
    </row>
    <row r="1609" ht="12.75">
      <c r="W1609" s="329"/>
    </row>
    <row r="1610" ht="12.75">
      <c r="W1610" s="329"/>
    </row>
    <row r="1611" ht="12.75">
      <c r="W1611" s="329"/>
    </row>
    <row r="1612" ht="12.75">
      <c r="W1612" s="329"/>
    </row>
    <row r="1613" ht="12.75">
      <c r="W1613" s="329"/>
    </row>
    <row r="1614" ht="12.75">
      <c r="W1614" s="329"/>
    </row>
    <row r="1615" ht="12.75">
      <c r="W1615" s="329"/>
    </row>
    <row r="1616" ht="12.75">
      <c r="W1616" s="329"/>
    </row>
    <row r="1617" ht="12.75">
      <c r="W1617" s="329"/>
    </row>
    <row r="1618" ht="12.75">
      <c r="W1618" s="329"/>
    </row>
    <row r="1619" ht="12.75">
      <c r="W1619" s="329"/>
    </row>
    <row r="1620" ht="12.75">
      <c r="W1620" s="329"/>
    </row>
    <row r="1621" ht="12.75">
      <c r="W1621" s="329"/>
    </row>
    <row r="1622" ht="12.75">
      <c r="W1622" s="329"/>
    </row>
    <row r="1623" ht="12.75">
      <c r="W1623" s="329"/>
    </row>
    <row r="1624" ht="12.75">
      <c r="W1624" s="329"/>
    </row>
    <row r="1625" ht="12.75">
      <c r="W1625" s="329"/>
    </row>
    <row r="1626" ht="12.75">
      <c r="W1626" s="329"/>
    </row>
    <row r="1627" ht="12.75">
      <c r="W1627" s="329"/>
    </row>
    <row r="1628" ht="12.75">
      <c r="W1628" s="329"/>
    </row>
    <row r="1629" ht="12.75">
      <c r="W1629" s="329"/>
    </row>
    <row r="1630" ht="12.75">
      <c r="W1630" s="329"/>
    </row>
    <row r="1631" ht="12.75">
      <c r="W1631" s="329"/>
    </row>
    <row r="1632" ht="12.75">
      <c r="W1632" s="329"/>
    </row>
    <row r="1633" ht="12.75">
      <c r="W1633" s="329"/>
    </row>
    <row r="1634" ht="12.75">
      <c r="W1634" s="329"/>
    </row>
    <row r="1635" ht="12.75">
      <c r="W1635" s="329"/>
    </row>
    <row r="1636" ht="12.75">
      <c r="W1636" s="329"/>
    </row>
    <row r="1637" ht="12.75">
      <c r="W1637" s="329"/>
    </row>
    <row r="1638" ht="12.75">
      <c r="W1638" s="329"/>
    </row>
    <row r="1639" ht="12.75">
      <c r="W1639" s="329"/>
    </row>
    <row r="1640" ht="12.75">
      <c r="W1640" s="329"/>
    </row>
    <row r="1641" ht="12.75">
      <c r="W1641" s="329"/>
    </row>
    <row r="1642" ht="12.75">
      <c r="W1642" s="329"/>
    </row>
    <row r="1643" ht="12.75">
      <c r="W1643" s="329"/>
    </row>
    <row r="1644" ht="12.75">
      <c r="W1644" s="329"/>
    </row>
    <row r="1645" ht="12.75">
      <c r="W1645" s="329"/>
    </row>
    <row r="1646" ht="12.75">
      <c r="W1646" s="329"/>
    </row>
    <row r="1647" ht="12.75">
      <c r="W1647" s="329"/>
    </row>
    <row r="1648" ht="12.75">
      <c r="W1648" s="329"/>
    </row>
    <row r="1649" ht="12.75">
      <c r="W1649" s="329"/>
    </row>
    <row r="1650" ht="12.75">
      <c r="W1650" s="329"/>
    </row>
    <row r="1651" ht="12.75">
      <c r="W1651" s="329"/>
    </row>
    <row r="1652" ht="12.75">
      <c r="W1652" s="329"/>
    </row>
    <row r="1653" ht="12.75">
      <c r="W1653" s="329"/>
    </row>
    <row r="1654" ht="12.75">
      <c r="W1654" s="329"/>
    </row>
    <row r="1655" ht="12.75">
      <c r="W1655" s="329"/>
    </row>
    <row r="1656" ht="12.75">
      <c r="W1656" s="329"/>
    </row>
    <row r="1657" ht="12.75">
      <c r="W1657" s="329"/>
    </row>
    <row r="1658" ht="12.75">
      <c r="W1658" s="329"/>
    </row>
    <row r="1659" ht="12.75">
      <c r="W1659" s="329"/>
    </row>
    <row r="1660" ht="12.75">
      <c r="W1660" s="329"/>
    </row>
    <row r="1661" ht="12.75">
      <c r="W1661" s="329"/>
    </row>
    <row r="1662" ht="12.75">
      <c r="W1662" s="329"/>
    </row>
    <row r="1663" ht="12.75">
      <c r="W1663" s="329"/>
    </row>
    <row r="1664" ht="12.75">
      <c r="W1664" s="329"/>
    </row>
    <row r="1665" ht="12.75">
      <c r="W1665" s="329"/>
    </row>
    <row r="1666" ht="12.75">
      <c r="W1666" s="329"/>
    </row>
    <row r="1667" ht="12.75">
      <c r="W1667" s="329"/>
    </row>
    <row r="1668" ht="12.75">
      <c r="W1668" s="329"/>
    </row>
    <row r="1669" ht="12.75">
      <c r="W1669" s="329"/>
    </row>
    <row r="1670" ht="12.75">
      <c r="W1670" s="329"/>
    </row>
    <row r="1671" ht="12.75">
      <c r="W1671" s="329"/>
    </row>
    <row r="1672" ht="12.75">
      <c r="W1672" s="329"/>
    </row>
    <row r="1673" ht="12.75">
      <c r="W1673" s="329"/>
    </row>
    <row r="1674" ht="12.75">
      <c r="W1674" s="329"/>
    </row>
    <row r="1675" ht="12.75">
      <c r="W1675" s="329"/>
    </row>
    <row r="1676" ht="12.75">
      <c r="W1676" s="329"/>
    </row>
    <row r="1677" ht="12.75">
      <c r="W1677" s="329"/>
    </row>
    <row r="1678" ht="12.75">
      <c r="W1678" s="329"/>
    </row>
    <row r="1679" ht="12.75">
      <c r="W1679" s="329"/>
    </row>
    <row r="1680" ht="12.75">
      <c r="W1680" s="329"/>
    </row>
    <row r="1681" ht="12.75">
      <c r="W1681" s="329"/>
    </row>
    <row r="1682" ht="12.75">
      <c r="W1682" s="329"/>
    </row>
    <row r="1683" ht="12.75">
      <c r="W1683" s="329"/>
    </row>
    <row r="1684" ht="12.75">
      <c r="W1684" s="329"/>
    </row>
    <row r="1685" ht="12.75">
      <c r="W1685" s="329"/>
    </row>
    <row r="1686" ht="12.75">
      <c r="W1686" s="329"/>
    </row>
    <row r="1687" ht="12.75">
      <c r="W1687" s="329"/>
    </row>
    <row r="1688" ht="12.75">
      <c r="W1688" s="329"/>
    </row>
    <row r="1689" ht="12.75">
      <c r="W1689" s="329"/>
    </row>
    <row r="1690" ht="12.75">
      <c r="W1690" s="329"/>
    </row>
    <row r="1691" ht="12.75">
      <c r="W1691" s="329"/>
    </row>
    <row r="1692" ht="12.75">
      <c r="W1692" s="329"/>
    </row>
    <row r="1693" ht="12.75">
      <c r="W1693" s="329"/>
    </row>
    <row r="1694" ht="12.75">
      <c r="W1694" s="329"/>
    </row>
    <row r="1695" ht="12.75">
      <c r="W1695" s="329"/>
    </row>
    <row r="1696" ht="12.75">
      <c r="W1696" s="329"/>
    </row>
    <row r="1697" ht="12.75">
      <c r="W1697" s="329"/>
    </row>
    <row r="1698" ht="12.75">
      <c r="W1698" s="329"/>
    </row>
    <row r="1699" ht="12.75">
      <c r="W1699" s="329"/>
    </row>
    <row r="1700" ht="12.75">
      <c r="W1700" s="329"/>
    </row>
    <row r="1701" ht="12.75">
      <c r="W1701" s="329"/>
    </row>
    <row r="1702" ht="12.75">
      <c r="W1702" s="329"/>
    </row>
    <row r="1703" ht="12.75">
      <c r="W1703" s="329"/>
    </row>
    <row r="1704" ht="12.75">
      <c r="W1704" s="329"/>
    </row>
    <row r="1705" ht="12.75">
      <c r="W1705" s="329"/>
    </row>
    <row r="1706" ht="12.75">
      <c r="W1706" s="329"/>
    </row>
    <row r="1707" ht="12.75">
      <c r="W1707" s="329"/>
    </row>
    <row r="1708" ht="12.75">
      <c r="W1708" s="329"/>
    </row>
    <row r="1709" ht="12.75">
      <c r="W1709" s="329"/>
    </row>
    <row r="1710" ht="12.75">
      <c r="W1710" s="329"/>
    </row>
    <row r="1711" ht="12.75">
      <c r="W1711" s="329"/>
    </row>
    <row r="1712" ht="12.75">
      <c r="W1712" s="329"/>
    </row>
    <row r="1713" ht="12.75">
      <c r="W1713" s="329"/>
    </row>
    <row r="1714" ht="12.75">
      <c r="W1714" s="329"/>
    </row>
    <row r="1715" ht="12.75">
      <c r="W1715" s="329"/>
    </row>
    <row r="1716" ht="12.75">
      <c r="W1716" s="329"/>
    </row>
    <row r="1717" ht="12.75">
      <c r="W1717" s="329"/>
    </row>
    <row r="1718" ht="12.75">
      <c r="W1718" s="329"/>
    </row>
    <row r="1719" ht="12.75">
      <c r="W1719" s="329"/>
    </row>
    <row r="1720" ht="12.75">
      <c r="W1720" s="329"/>
    </row>
    <row r="1721" ht="12.75">
      <c r="W1721" s="329"/>
    </row>
    <row r="1722" ht="12.75">
      <c r="W1722" s="329"/>
    </row>
    <row r="1723" ht="12.75">
      <c r="W1723" s="329"/>
    </row>
    <row r="1724" ht="12.75">
      <c r="W1724" s="329"/>
    </row>
    <row r="1725" ht="12.75">
      <c r="W1725" s="329"/>
    </row>
    <row r="1726" ht="12.75">
      <c r="W1726" s="329"/>
    </row>
    <row r="1727" ht="12.75">
      <c r="W1727" s="329"/>
    </row>
    <row r="1728" ht="12.75">
      <c r="W1728" s="329"/>
    </row>
    <row r="1729" ht="12.75">
      <c r="W1729" s="329"/>
    </row>
    <row r="1730" ht="12.75">
      <c r="W1730" s="329"/>
    </row>
    <row r="1731" ht="12.75">
      <c r="W1731" s="329"/>
    </row>
    <row r="1732" ht="12.75">
      <c r="W1732" s="329"/>
    </row>
    <row r="1733" ht="12.75">
      <c r="W1733" s="329"/>
    </row>
    <row r="1734" ht="12.75">
      <c r="W1734" s="329"/>
    </row>
    <row r="1735" ht="12.75">
      <c r="W1735" s="329"/>
    </row>
    <row r="1736" ht="12.75">
      <c r="W1736" s="329"/>
    </row>
    <row r="1737" ht="12.75">
      <c r="W1737" s="329"/>
    </row>
    <row r="1738" ht="12.75">
      <c r="W1738" s="329"/>
    </row>
    <row r="1739" ht="12.75">
      <c r="W1739" s="329"/>
    </row>
    <row r="1740" ht="12.75">
      <c r="W1740" s="329"/>
    </row>
    <row r="1741" ht="12.75">
      <c r="W1741" s="329"/>
    </row>
    <row r="1742" ht="12.75">
      <c r="W1742" s="329"/>
    </row>
    <row r="1743" ht="12.75">
      <c r="W1743" s="329"/>
    </row>
    <row r="1744" ht="12.75">
      <c r="W1744" s="329"/>
    </row>
    <row r="1745" ht="12.75">
      <c r="W1745" s="329"/>
    </row>
    <row r="1746" ht="12.75">
      <c r="W1746" s="329"/>
    </row>
    <row r="1747" ht="12.75">
      <c r="W1747" s="329"/>
    </row>
    <row r="1748" ht="12.75">
      <c r="W1748" s="329"/>
    </row>
    <row r="1749" ht="12.75">
      <c r="W1749" s="329"/>
    </row>
    <row r="1750" ht="12.75">
      <c r="W1750" s="329"/>
    </row>
    <row r="1751" ht="12.75">
      <c r="W1751" s="329"/>
    </row>
    <row r="1752" ht="12.75">
      <c r="W1752" s="329"/>
    </row>
    <row r="1753" ht="12.75">
      <c r="W1753" s="329"/>
    </row>
    <row r="1754" ht="12.75">
      <c r="W1754" s="329"/>
    </row>
    <row r="1755" ht="12.75">
      <c r="W1755" s="329"/>
    </row>
    <row r="1756" ht="12.75">
      <c r="W1756" s="329"/>
    </row>
    <row r="1757" ht="12.75">
      <c r="W1757" s="329"/>
    </row>
    <row r="1758" ht="12.75">
      <c r="W1758" s="329"/>
    </row>
    <row r="1759" ht="12.75">
      <c r="W1759" s="329"/>
    </row>
    <row r="1760" ht="12.75">
      <c r="W1760" s="329"/>
    </row>
    <row r="1761" ht="12.75">
      <c r="W1761" s="329"/>
    </row>
    <row r="1762" ht="12.75">
      <c r="W1762" s="329"/>
    </row>
    <row r="1763" ht="12.75">
      <c r="W1763" s="329"/>
    </row>
    <row r="1764" ht="12.75">
      <c r="W1764" s="329"/>
    </row>
    <row r="1765" ht="12.75">
      <c r="W1765" s="329"/>
    </row>
    <row r="1766" ht="12.75">
      <c r="W1766" s="329"/>
    </row>
    <row r="1767" ht="12.75">
      <c r="W1767" s="329"/>
    </row>
    <row r="1768" ht="12.75">
      <c r="W1768" s="329"/>
    </row>
    <row r="1769" ht="12.75">
      <c r="W1769" s="329"/>
    </row>
    <row r="1770" ht="12.75">
      <c r="W1770" s="329"/>
    </row>
    <row r="1771" ht="12.75">
      <c r="W1771" s="329"/>
    </row>
    <row r="1772" ht="12.75">
      <c r="W1772" s="329"/>
    </row>
    <row r="1773" ht="12.75">
      <c r="W1773" s="329"/>
    </row>
    <row r="1774" ht="12.75">
      <c r="W1774" s="329"/>
    </row>
    <row r="1775" ht="12.75">
      <c r="W1775" s="329"/>
    </row>
    <row r="1776" ht="12.75">
      <c r="W1776" s="329"/>
    </row>
    <row r="1777" ht="12.75">
      <c r="W1777" s="329"/>
    </row>
    <row r="1778" ht="12.75">
      <c r="W1778" s="329"/>
    </row>
    <row r="1779" ht="12.75">
      <c r="W1779" s="329"/>
    </row>
    <row r="1780" ht="12.75">
      <c r="W1780" s="329"/>
    </row>
    <row r="1781" ht="12.75">
      <c r="W1781" s="329"/>
    </row>
    <row r="1782" ht="12.75">
      <c r="W1782" s="329"/>
    </row>
    <row r="1783" ht="12.75">
      <c r="W1783" s="329"/>
    </row>
    <row r="1784" ht="12.75">
      <c r="W1784" s="329"/>
    </row>
    <row r="1785" ht="12.75">
      <c r="W1785" s="329"/>
    </row>
    <row r="1786" ht="12.75">
      <c r="W1786" s="329"/>
    </row>
    <row r="1787" ht="12.75">
      <c r="W1787" s="329"/>
    </row>
    <row r="1788" ht="12.75">
      <c r="W1788" s="329"/>
    </row>
    <row r="1789" ht="12.75">
      <c r="W1789" s="329"/>
    </row>
    <row r="1790" ht="12.75">
      <c r="W1790" s="329"/>
    </row>
    <row r="1791" ht="12.75">
      <c r="W1791" s="329"/>
    </row>
    <row r="1792" ht="12.75">
      <c r="W1792" s="329"/>
    </row>
    <row r="1793" ht="12.75">
      <c r="W1793" s="329"/>
    </row>
    <row r="1794" ht="12.75">
      <c r="W1794" s="329"/>
    </row>
    <row r="1795" ht="12.75">
      <c r="W1795" s="329"/>
    </row>
    <row r="1796" ht="12.75">
      <c r="W1796" s="329"/>
    </row>
    <row r="1797" ht="12.75">
      <c r="W1797" s="329"/>
    </row>
    <row r="1798" ht="12.75">
      <c r="W1798" s="329"/>
    </row>
    <row r="1799" ht="12.75">
      <c r="W1799" s="329"/>
    </row>
    <row r="1800" ht="12.75">
      <c r="W1800" s="329"/>
    </row>
    <row r="1801" ht="12.75">
      <c r="W1801" s="329"/>
    </row>
    <row r="1802" ht="12.75">
      <c r="W1802" s="329"/>
    </row>
    <row r="1803" ht="12.75">
      <c r="W1803" s="329"/>
    </row>
    <row r="1804" ht="12.75">
      <c r="W1804" s="329"/>
    </row>
    <row r="1805" ht="12.75">
      <c r="W1805" s="329"/>
    </row>
    <row r="1806" ht="12.75">
      <c r="W1806" s="329"/>
    </row>
    <row r="1807" ht="12.75">
      <c r="W1807" s="329"/>
    </row>
    <row r="1808" ht="12.75">
      <c r="W1808" s="329"/>
    </row>
    <row r="1809" ht="12.75">
      <c r="W1809" s="329"/>
    </row>
    <row r="1810" ht="12.75">
      <c r="W1810" s="329"/>
    </row>
    <row r="1811" ht="12.75">
      <c r="W1811" s="329"/>
    </row>
    <row r="1812" ht="12.75">
      <c r="W1812" s="329"/>
    </row>
    <row r="1813" ht="12.75">
      <c r="W1813" s="329"/>
    </row>
    <row r="1814" ht="12.75">
      <c r="W1814" s="329"/>
    </row>
    <row r="1815" ht="12.75">
      <c r="W1815" s="329"/>
    </row>
    <row r="1816" ht="12.75">
      <c r="W1816" s="329"/>
    </row>
    <row r="1817" ht="12.75">
      <c r="W1817" s="329"/>
    </row>
    <row r="1818" ht="12.75">
      <c r="W1818" s="329"/>
    </row>
    <row r="1819" ht="12.75">
      <c r="W1819" s="329"/>
    </row>
    <row r="1820" ht="12.75">
      <c r="W1820" s="329"/>
    </row>
    <row r="1821" ht="12.75">
      <c r="W1821" s="329"/>
    </row>
    <row r="1822" ht="12.75">
      <c r="W1822" s="329"/>
    </row>
    <row r="1823" ht="12.75">
      <c r="W1823" s="329"/>
    </row>
    <row r="1824" ht="12.75">
      <c r="W1824" s="329"/>
    </row>
    <row r="1825" ht="12.75">
      <c r="W1825" s="329"/>
    </row>
    <row r="1826" ht="12.75">
      <c r="W1826" s="329"/>
    </row>
    <row r="1827" ht="12.75">
      <c r="W1827" s="329"/>
    </row>
    <row r="1828" ht="12.75">
      <c r="W1828" s="329"/>
    </row>
    <row r="1829" ht="12.75">
      <c r="W1829" s="329"/>
    </row>
    <row r="1830" ht="12.75">
      <c r="W1830" s="329"/>
    </row>
    <row r="1831" ht="12.75">
      <c r="W1831" s="329"/>
    </row>
    <row r="1832" ht="12.75">
      <c r="W1832" s="329"/>
    </row>
    <row r="1833" ht="12.75">
      <c r="W1833" s="329"/>
    </row>
    <row r="1834" ht="12.75">
      <c r="W1834" s="329"/>
    </row>
    <row r="1835" ht="12.75">
      <c r="W1835" s="329"/>
    </row>
    <row r="1836" ht="12.75">
      <c r="W1836" s="329"/>
    </row>
    <row r="1837" ht="12.75">
      <c r="W1837" s="329"/>
    </row>
    <row r="1838" ht="12.75">
      <c r="W1838" s="329"/>
    </row>
    <row r="1839" ht="12.75">
      <c r="W1839" s="329"/>
    </row>
    <row r="1840" ht="12.75">
      <c r="W1840" s="329"/>
    </row>
    <row r="1841" ht="12.75">
      <c r="W1841" s="329"/>
    </row>
    <row r="1842" ht="12.75">
      <c r="W1842" s="329"/>
    </row>
    <row r="1843" ht="12.75">
      <c r="W1843" s="329"/>
    </row>
    <row r="1844" ht="12.75">
      <c r="W1844" s="329"/>
    </row>
    <row r="1845" ht="12.75">
      <c r="W1845" s="329"/>
    </row>
    <row r="1846" ht="12.75">
      <c r="W1846" s="329"/>
    </row>
    <row r="1847" ht="12.75">
      <c r="W1847" s="329"/>
    </row>
    <row r="1848" ht="12.75">
      <c r="W1848" s="329"/>
    </row>
    <row r="1849" ht="12.75">
      <c r="W1849" s="329"/>
    </row>
    <row r="1850" ht="12.75">
      <c r="W1850" s="329"/>
    </row>
    <row r="1851" ht="12.75">
      <c r="W1851" s="329"/>
    </row>
    <row r="1852" ht="12.75">
      <c r="W1852" s="329"/>
    </row>
    <row r="1853" ht="12.75">
      <c r="W1853" s="329"/>
    </row>
    <row r="1854" ht="12.75">
      <c r="W1854" s="329"/>
    </row>
    <row r="1855" ht="12.75">
      <c r="W1855" s="329"/>
    </row>
    <row r="1856" ht="12.75">
      <c r="W1856" s="329"/>
    </row>
    <row r="1857" ht="12.75">
      <c r="W1857" s="329"/>
    </row>
    <row r="1858" ht="12.75">
      <c r="W1858" s="329"/>
    </row>
    <row r="1859" ht="12.75">
      <c r="W1859" s="329"/>
    </row>
    <row r="1860" ht="12.75">
      <c r="W1860" s="329"/>
    </row>
    <row r="1861" ht="12.75">
      <c r="W1861" s="329"/>
    </row>
    <row r="1862" ht="12.75">
      <c r="W1862" s="329"/>
    </row>
    <row r="1863" ht="12.75">
      <c r="W1863" s="329"/>
    </row>
    <row r="1864" ht="12.75">
      <c r="W1864" s="329"/>
    </row>
    <row r="1865" ht="12.75">
      <c r="W1865" s="329"/>
    </row>
    <row r="1866" ht="12.75">
      <c r="W1866" s="329"/>
    </row>
    <row r="1867" ht="12.75">
      <c r="W1867" s="329"/>
    </row>
    <row r="1868" ht="12.75">
      <c r="W1868" s="329"/>
    </row>
    <row r="1869" ht="12.75">
      <c r="W1869" s="329"/>
    </row>
    <row r="1870" ht="12.75">
      <c r="W1870" s="329"/>
    </row>
    <row r="1871" ht="12.75">
      <c r="W1871" s="329"/>
    </row>
    <row r="1872" ht="12.75">
      <c r="W1872" s="329"/>
    </row>
    <row r="1873" ht="12.75">
      <c r="W1873" s="329"/>
    </row>
    <row r="1874" ht="12.75">
      <c r="W1874" s="329"/>
    </row>
    <row r="1875" ht="12.75">
      <c r="W1875" s="329"/>
    </row>
    <row r="1876" ht="12.75">
      <c r="W1876" s="329"/>
    </row>
    <row r="1877" ht="12.75">
      <c r="W1877" s="329"/>
    </row>
    <row r="1878" ht="12.75">
      <c r="W1878" s="329"/>
    </row>
    <row r="1879" ht="12.75">
      <c r="W1879" s="329"/>
    </row>
    <row r="1880" ht="12.75">
      <c r="W1880" s="329"/>
    </row>
    <row r="1881" ht="12.75">
      <c r="W1881" s="329"/>
    </row>
    <row r="1882" ht="12.75">
      <c r="W1882" s="329"/>
    </row>
    <row r="1883" ht="12.75">
      <c r="W1883" s="329"/>
    </row>
    <row r="1884" ht="12.75">
      <c r="W1884" s="329"/>
    </row>
    <row r="1885" ht="12.75">
      <c r="W1885" s="329"/>
    </row>
    <row r="1886" ht="12.75">
      <c r="W1886" s="329"/>
    </row>
    <row r="1887" ht="12.75">
      <c r="W1887" s="329"/>
    </row>
    <row r="1888" ht="12.75">
      <c r="W1888" s="329"/>
    </row>
    <row r="1889" ht="12.75">
      <c r="W1889" s="329"/>
    </row>
    <row r="1890" ht="12.75">
      <c r="W1890" s="329"/>
    </row>
    <row r="1891" ht="12.75">
      <c r="W1891" s="329"/>
    </row>
    <row r="1892" ht="12.75">
      <c r="W1892" s="329"/>
    </row>
    <row r="1893" ht="12.75">
      <c r="W1893" s="329"/>
    </row>
    <row r="1894" ht="12.75">
      <c r="W1894" s="329"/>
    </row>
    <row r="1895" ht="12.75">
      <c r="W1895" s="329"/>
    </row>
    <row r="1896" ht="12.75">
      <c r="W1896" s="329"/>
    </row>
    <row r="1897" ht="12.75">
      <c r="W1897" s="329"/>
    </row>
    <row r="1898" ht="12.75">
      <c r="W1898" s="329"/>
    </row>
    <row r="1899" ht="12.75">
      <c r="W1899" s="329"/>
    </row>
    <row r="1900" ht="12.75">
      <c r="W1900" s="329"/>
    </row>
    <row r="1901" ht="12.75">
      <c r="W1901" s="329"/>
    </row>
    <row r="1902" ht="12.75">
      <c r="W1902" s="329"/>
    </row>
    <row r="1903" ht="12.75">
      <c r="W1903" s="329"/>
    </row>
    <row r="1904" ht="12.75">
      <c r="W1904" s="329"/>
    </row>
    <row r="1905" ht="12.75">
      <c r="W1905" s="329"/>
    </row>
    <row r="1906" ht="12.75">
      <c r="W1906" s="329"/>
    </row>
    <row r="1907" ht="12.75">
      <c r="W1907" s="329"/>
    </row>
    <row r="1908" ht="12.75">
      <c r="W1908" s="329"/>
    </row>
    <row r="1909" ht="12.75">
      <c r="W1909" s="329"/>
    </row>
    <row r="1910" ht="12.75">
      <c r="W1910" s="329"/>
    </row>
    <row r="1911" ht="12.75">
      <c r="W1911" s="329"/>
    </row>
    <row r="1912" ht="12.75">
      <c r="W1912" s="329"/>
    </row>
    <row r="1913" ht="12.75">
      <c r="W1913" s="329"/>
    </row>
    <row r="1914" ht="12.75">
      <c r="W1914" s="329"/>
    </row>
    <row r="1915" ht="12.75">
      <c r="W1915" s="329"/>
    </row>
    <row r="1916" ht="12.75">
      <c r="W1916" s="329"/>
    </row>
    <row r="1917" ht="12.75">
      <c r="W1917" s="329"/>
    </row>
    <row r="1918" ht="12.75">
      <c r="W1918" s="329"/>
    </row>
    <row r="1919" ht="12.75">
      <c r="W1919" s="329"/>
    </row>
    <row r="1920" ht="12.75">
      <c r="W1920" s="329"/>
    </row>
    <row r="1921" ht="12.75">
      <c r="W1921" s="329"/>
    </row>
    <row r="1922" ht="12.75">
      <c r="W1922" s="329"/>
    </row>
    <row r="1923" ht="12.75">
      <c r="W1923" s="329"/>
    </row>
    <row r="1924" ht="12.75">
      <c r="W1924" s="329"/>
    </row>
    <row r="1925" ht="12.75">
      <c r="W1925" s="329"/>
    </row>
    <row r="1926" ht="12.75">
      <c r="W1926" s="329"/>
    </row>
    <row r="1927" ht="12.75">
      <c r="W1927" s="329"/>
    </row>
    <row r="1928" ht="12.75">
      <c r="W1928" s="329"/>
    </row>
    <row r="1929" ht="12.75">
      <c r="W1929" s="329"/>
    </row>
    <row r="1930" ht="12.75">
      <c r="W1930" s="329"/>
    </row>
    <row r="1931" ht="12.75">
      <c r="W1931" s="329"/>
    </row>
    <row r="1932" ht="12.75">
      <c r="W1932" s="329"/>
    </row>
    <row r="1933" ht="12.75">
      <c r="W1933" s="329"/>
    </row>
    <row r="1934" ht="12.75">
      <c r="W1934" s="329"/>
    </row>
    <row r="1935" ht="12.75">
      <c r="W1935" s="329"/>
    </row>
    <row r="1936" ht="12.75">
      <c r="W1936" s="329"/>
    </row>
    <row r="1937" ht="12.75">
      <c r="W1937" s="329"/>
    </row>
    <row r="1938" ht="12.75">
      <c r="W1938" s="329"/>
    </row>
    <row r="1939" ht="12.75">
      <c r="W1939" s="329"/>
    </row>
    <row r="1940" ht="12.75">
      <c r="W1940" s="329"/>
    </row>
    <row r="1941" ht="12.75">
      <c r="W1941" s="329"/>
    </row>
    <row r="1942" ht="12.75">
      <c r="W1942" s="329"/>
    </row>
    <row r="1943" ht="12.75">
      <c r="W1943" s="329"/>
    </row>
    <row r="1944" ht="12.75">
      <c r="W1944" s="329"/>
    </row>
    <row r="1945" ht="12.75">
      <c r="W1945" s="329"/>
    </row>
    <row r="1946" ht="12.75">
      <c r="W1946" s="329"/>
    </row>
    <row r="1947" ht="12.75">
      <c r="W1947" s="329"/>
    </row>
    <row r="1948" ht="12.75">
      <c r="W1948" s="329"/>
    </row>
    <row r="1949" ht="12.75">
      <c r="W1949" s="329"/>
    </row>
    <row r="1950" ht="12.75">
      <c r="W1950" s="329"/>
    </row>
    <row r="1951" ht="12.75">
      <c r="W1951" s="329"/>
    </row>
    <row r="1952" ht="12.75">
      <c r="W1952" s="329"/>
    </row>
    <row r="1953" ht="12.75">
      <c r="W1953" s="329"/>
    </row>
    <row r="1954" ht="12.75">
      <c r="W1954" s="329"/>
    </row>
    <row r="1955" ht="12.75">
      <c r="W1955" s="329"/>
    </row>
    <row r="1956" ht="12.75">
      <c r="W1956" s="329"/>
    </row>
    <row r="1957" ht="12.75">
      <c r="W1957" s="329"/>
    </row>
    <row r="1958" ht="12.75">
      <c r="W1958" s="329"/>
    </row>
    <row r="1959" ht="12.75">
      <c r="W1959" s="329"/>
    </row>
    <row r="1960" ht="12.75">
      <c r="W1960" s="329"/>
    </row>
    <row r="1961" ht="12.75">
      <c r="W1961" s="329"/>
    </row>
    <row r="1962" ht="12.75">
      <c r="W1962" s="329"/>
    </row>
    <row r="1963" ht="12.75">
      <c r="W1963" s="329"/>
    </row>
    <row r="1964" ht="12.75">
      <c r="W1964" s="329"/>
    </row>
    <row r="1965" ht="12.75">
      <c r="W1965" s="329"/>
    </row>
    <row r="1966" ht="12.75">
      <c r="W1966" s="329"/>
    </row>
    <row r="1967" ht="12.75">
      <c r="W1967" s="329"/>
    </row>
    <row r="1968" ht="12.75">
      <c r="W1968" s="329"/>
    </row>
    <row r="1969" ht="12.75">
      <c r="W1969" s="329"/>
    </row>
    <row r="1970" ht="12.75">
      <c r="W1970" s="329"/>
    </row>
    <row r="1971" ht="12.75">
      <c r="W1971" s="329"/>
    </row>
    <row r="1972" ht="12.75">
      <c r="W1972" s="329"/>
    </row>
    <row r="1973" ht="12.75">
      <c r="W1973" s="329"/>
    </row>
    <row r="1974" ht="12.75">
      <c r="W1974" s="329"/>
    </row>
    <row r="1975" ht="12.75">
      <c r="W1975" s="329"/>
    </row>
    <row r="1976" ht="12.75">
      <c r="W1976" s="329"/>
    </row>
    <row r="1977" ht="12.75">
      <c r="W1977" s="329"/>
    </row>
    <row r="1978" ht="12.75">
      <c r="W1978" s="329"/>
    </row>
    <row r="1979" ht="12.75">
      <c r="W1979" s="329"/>
    </row>
    <row r="1980" ht="12.75">
      <c r="W1980" s="329"/>
    </row>
    <row r="1981" ht="12.75">
      <c r="W1981" s="329"/>
    </row>
    <row r="1982" ht="12.75">
      <c r="W1982" s="329"/>
    </row>
    <row r="1983" ht="12.75">
      <c r="W1983" s="329"/>
    </row>
    <row r="1984" ht="12.75">
      <c r="W1984" s="329"/>
    </row>
    <row r="1985" ht="12.75">
      <c r="W1985" s="329"/>
    </row>
    <row r="1986" ht="12.75">
      <c r="W1986" s="329"/>
    </row>
    <row r="1987" ht="12.75">
      <c r="W1987" s="329"/>
    </row>
    <row r="1988" ht="12.75">
      <c r="W1988" s="329"/>
    </row>
    <row r="1989" ht="12.75">
      <c r="W1989" s="329"/>
    </row>
    <row r="1990" ht="12.75">
      <c r="W1990" s="329"/>
    </row>
    <row r="1991" ht="12.75">
      <c r="W1991" s="329"/>
    </row>
    <row r="1992" ht="12.75">
      <c r="W1992" s="329"/>
    </row>
    <row r="1993" ht="12.75">
      <c r="W1993" s="329"/>
    </row>
    <row r="1994" ht="12.75">
      <c r="W1994" s="329"/>
    </row>
    <row r="1995" ht="12.75">
      <c r="W1995" s="329"/>
    </row>
    <row r="1996" ht="12.75">
      <c r="W1996" s="329"/>
    </row>
    <row r="1997" ht="12.75">
      <c r="W1997" s="329"/>
    </row>
    <row r="1998" ht="12.75">
      <c r="W1998" s="329"/>
    </row>
    <row r="1999" ht="12.75">
      <c r="W1999" s="329"/>
    </row>
    <row r="2000" ht="12.75">
      <c r="W2000" s="329"/>
    </row>
    <row r="2001" ht="12.75">
      <c r="W2001" s="329"/>
    </row>
    <row r="2002" ht="12.75">
      <c r="W2002" s="329"/>
    </row>
    <row r="2003" ht="12.75">
      <c r="W2003" s="329"/>
    </row>
    <row r="2004" ht="12.75">
      <c r="W2004" s="329"/>
    </row>
    <row r="2005" ht="12.75">
      <c r="W2005" s="329"/>
    </row>
    <row r="2006" ht="12.75">
      <c r="W2006" s="329"/>
    </row>
    <row r="2007" ht="12.75">
      <c r="W2007" s="329"/>
    </row>
    <row r="2008" ht="12.75">
      <c r="W2008" s="329"/>
    </row>
    <row r="2009" ht="12.75">
      <c r="W2009" s="329"/>
    </row>
    <row r="2010" ht="12.75">
      <c r="W2010" s="329"/>
    </row>
    <row r="2011" ht="12.75">
      <c r="W2011" s="329"/>
    </row>
    <row r="2012" ht="12.75">
      <c r="W2012" s="329"/>
    </row>
    <row r="2013" ht="12.75">
      <c r="W2013" s="329"/>
    </row>
    <row r="2014" ht="12.75">
      <c r="W2014" s="329"/>
    </row>
    <row r="2015" ht="12.75">
      <c r="W2015" s="329"/>
    </row>
    <row r="2016" ht="12.75">
      <c r="W2016" s="329"/>
    </row>
    <row r="2017" ht="12.75">
      <c r="W2017" s="329"/>
    </row>
    <row r="2018" ht="12.75">
      <c r="W2018" s="329"/>
    </row>
    <row r="2019" ht="12.75">
      <c r="W2019" s="329"/>
    </row>
    <row r="2020" ht="12.75">
      <c r="W2020" s="329"/>
    </row>
    <row r="2021" ht="12.75">
      <c r="W2021" s="329"/>
    </row>
    <row r="2022" ht="12.75">
      <c r="W2022" s="329"/>
    </row>
    <row r="2023" ht="12.75">
      <c r="W2023" s="329"/>
    </row>
    <row r="2024" ht="12.75">
      <c r="W2024" s="329"/>
    </row>
    <row r="2025" ht="12.75">
      <c r="W2025" s="329"/>
    </row>
    <row r="2026" ht="12.75">
      <c r="W2026" s="329"/>
    </row>
    <row r="2027" ht="12.75">
      <c r="W2027" s="329"/>
    </row>
    <row r="2028" ht="12.75">
      <c r="W2028" s="329"/>
    </row>
    <row r="2029" ht="12.75">
      <c r="W2029" s="329"/>
    </row>
    <row r="2030" ht="12.75">
      <c r="W2030" s="329"/>
    </row>
    <row r="2031" ht="12.75">
      <c r="W2031" s="329"/>
    </row>
    <row r="2032" ht="12.75">
      <c r="W2032" s="329"/>
    </row>
    <row r="2033" ht="12.75">
      <c r="W2033" s="329"/>
    </row>
    <row r="2034" ht="12.75">
      <c r="W2034" s="329"/>
    </row>
    <row r="2035" ht="12.75">
      <c r="W2035" s="329"/>
    </row>
    <row r="2036" ht="12.75">
      <c r="W2036" s="329"/>
    </row>
    <row r="2037" ht="12.75">
      <c r="W2037" s="329"/>
    </row>
    <row r="2038" ht="12.75">
      <c r="W2038" s="329"/>
    </row>
    <row r="2039" ht="12.75">
      <c r="W2039" s="329"/>
    </row>
    <row r="2040" ht="12.75">
      <c r="W2040" s="329"/>
    </row>
    <row r="2041" ht="12.75">
      <c r="W2041" s="329"/>
    </row>
    <row r="2042" ht="12.75">
      <c r="W2042" s="329"/>
    </row>
    <row r="2043" ht="12.75">
      <c r="W2043" s="329"/>
    </row>
    <row r="2044" ht="12.75">
      <c r="W2044" s="329"/>
    </row>
    <row r="2045" ht="12.75">
      <c r="W2045" s="329"/>
    </row>
    <row r="2046" ht="12.75">
      <c r="W2046" s="329"/>
    </row>
    <row r="2047" ht="12.75">
      <c r="W2047" s="329"/>
    </row>
    <row r="2048" ht="12.75">
      <c r="W2048" s="329"/>
    </row>
    <row r="2049" ht="12.75">
      <c r="W2049" s="329"/>
    </row>
    <row r="2050" ht="12.75">
      <c r="W2050" s="329"/>
    </row>
    <row r="2051" ht="12.75">
      <c r="W2051" s="329"/>
    </row>
    <row r="2052" ht="12.75">
      <c r="W2052" s="329"/>
    </row>
    <row r="2053" ht="12.75">
      <c r="W2053" s="329"/>
    </row>
    <row r="2054" ht="12.75">
      <c r="W2054" s="329"/>
    </row>
    <row r="2055" ht="12.75">
      <c r="W2055" s="329"/>
    </row>
    <row r="2056" ht="12.75">
      <c r="W2056" s="329"/>
    </row>
    <row r="2057" ht="12.75">
      <c r="W2057" s="329"/>
    </row>
    <row r="2058" ht="12.75">
      <c r="W2058" s="329"/>
    </row>
    <row r="2059" ht="12.75">
      <c r="W2059" s="329"/>
    </row>
    <row r="2060" ht="12.75">
      <c r="W2060" s="329"/>
    </row>
    <row r="2061" ht="12.75">
      <c r="W2061" s="329"/>
    </row>
    <row r="2062" ht="12.75">
      <c r="W2062" s="329"/>
    </row>
    <row r="2063" ht="12.75">
      <c r="W2063" s="329"/>
    </row>
    <row r="2064" ht="12.75">
      <c r="W2064" s="329"/>
    </row>
    <row r="2065" ht="12.75">
      <c r="W2065" s="329"/>
    </row>
    <row r="2066" ht="12.75">
      <c r="W2066" s="329"/>
    </row>
    <row r="2067" ht="12.75">
      <c r="W2067" s="329"/>
    </row>
    <row r="2068" ht="12.75">
      <c r="W2068" s="329"/>
    </row>
    <row r="2069" ht="12.75">
      <c r="W2069" s="329"/>
    </row>
    <row r="2070" ht="12.75">
      <c r="W2070" s="329"/>
    </row>
    <row r="2071" ht="12.75">
      <c r="W2071" s="329"/>
    </row>
    <row r="2072" ht="12.75">
      <c r="W2072" s="329"/>
    </row>
    <row r="2073" ht="12.75">
      <c r="W2073" s="329"/>
    </row>
    <row r="2074" ht="12.75">
      <c r="W2074" s="329"/>
    </row>
    <row r="2075" ht="12.75">
      <c r="W2075" s="329"/>
    </row>
    <row r="2076" ht="12.75">
      <c r="W2076" s="329"/>
    </row>
    <row r="2077" ht="12.75">
      <c r="W2077" s="329"/>
    </row>
    <row r="2078" ht="12.75">
      <c r="W2078" s="329"/>
    </row>
    <row r="2079" ht="12.75">
      <c r="W2079" s="329"/>
    </row>
    <row r="2080" ht="12.75">
      <c r="W2080" s="329"/>
    </row>
    <row r="2081" ht="12.75">
      <c r="W2081" s="329"/>
    </row>
    <row r="2082" ht="12.75">
      <c r="W2082" s="329"/>
    </row>
    <row r="2083" ht="12.75">
      <c r="W2083" s="329"/>
    </row>
    <row r="2084" ht="12.75">
      <c r="W2084" s="329"/>
    </row>
    <row r="2085" ht="12.75">
      <c r="W2085" s="329"/>
    </row>
    <row r="2086" ht="12.75">
      <c r="W2086" s="329"/>
    </row>
    <row r="2087" ht="12.75">
      <c r="W2087" s="329"/>
    </row>
    <row r="2088" ht="12.75">
      <c r="W2088" s="329"/>
    </row>
    <row r="2089" ht="12.75">
      <c r="W2089" s="329"/>
    </row>
    <row r="2090" ht="12.75">
      <c r="W2090" s="329"/>
    </row>
    <row r="2091" ht="12.75">
      <c r="W2091" s="329"/>
    </row>
    <row r="2092" ht="12.75">
      <c r="W2092" s="329"/>
    </row>
    <row r="2093" ht="12.75">
      <c r="W2093" s="329"/>
    </row>
    <row r="2094" ht="12.75">
      <c r="W2094" s="329"/>
    </row>
    <row r="2095" ht="12.75">
      <c r="W2095" s="329"/>
    </row>
    <row r="2096" ht="12.75">
      <c r="W2096" s="329"/>
    </row>
    <row r="2097" ht="12.75">
      <c r="W2097" s="329"/>
    </row>
    <row r="2098" ht="12.75">
      <c r="W2098" s="329"/>
    </row>
    <row r="2099" ht="12.75">
      <c r="W2099" s="329"/>
    </row>
    <row r="2100" ht="12.75">
      <c r="W2100" s="329"/>
    </row>
    <row r="2101" ht="12.75">
      <c r="W2101" s="329"/>
    </row>
    <row r="2102" ht="12.75">
      <c r="W2102" s="329"/>
    </row>
    <row r="2103" ht="12.75">
      <c r="W2103" s="329"/>
    </row>
    <row r="2104" ht="12.75">
      <c r="W2104" s="329"/>
    </row>
    <row r="2105" ht="12.75">
      <c r="W2105" s="329"/>
    </row>
    <row r="2106" ht="12.75">
      <c r="W2106" s="329"/>
    </row>
    <row r="2107" ht="12.75">
      <c r="W2107" s="329"/>
    </row>
    <row r="2108" ht="12.75">
      <c r="W2108" s="329"/>
    </row>
    <row r="2109" ht="12.75">
      <c r="W2109" s="329"/>
    </row>
    <row r="2110" ht="12.75">
      <c r="W2110" s="329"/>
    </row>
    <row r="2111" ht="12.75">
      <c r="W2111" s="329"/>
    </row>
    <row r="2112" ht="12.75">
      <c r="W2112" s="329"/>
    </row>
    <row r="2113" ht="12.75">
      <c r="W2113" s="329"/>
    </row>
    <row r="2114" ht="12.75">
      <c r="W2114" s="329"/>
    </row>
    <row r="2115" ht="12.75">
      <c r="W2115" s="329"/>
    </row>
    <row r="2116" ht="12.75">
      <c r="W2116" s="329"/>
    </row>
    <row r="2117" ht="12.75">
      <c r="W2117" s="329"/>
    </row>
    <row r="2118" ht="12.75">
      <c r="W2118" s="329"/>
    </row>
    <row r="2119" ht="12.75">
      <c r="W2119" s="329"/>
    </row>
    <row r="2120" ht="12.75">
      <c r="W2120" s="329"/>
    </row>
    <row r="2121" ht="12.75">
      <c r="W2121" s="329"/>
    </row>
    <row r="2122" ht="12.75">
      <c r="W2122" s="329"/>
    </row>
    <row r="2123" ht="12.75">
      <c r="W2123" s="329"/>
    </row>
    <row r="2124" ht="12.75">
      <c r="W2124" s="329"/>
    </row>
    <row r="2125" ht="12.75">
      <c r="W2125" s="329"/>
    </row>
    <row r="2126" ht="12.75">
      <c r="W2126" s="329"/>
    </row>
    <row r="2127" ht="12.75">
      <c r="W2127" s="329"/>
    </row>
    <row r="2128" ht="12.75">
      <c r="W2128" s="329"/>
    </row>
    <row r="2129" ht="12.75">
      <c r="W2129" s="329"/>
    </row>
    <row r="2130" ht="12.75">
      <c r="W2130" s="329"/>
    </row>
    <row r="2131" ht="12.75">
      <c r="W2131" s="329"/>
    </row>
    <row r="2132" ht="12.75">
      <c r="W2132" s="329"/>
    </row>
    <row r="2133" ht="12.75">
      <c r="W2133" s="329"/>
    </row>
    <row r="2134" ht="12.75">
      <c r="W2134" s="329"/>
    </row>
    <row r="2135" ht="12.75">
      <c r="W2135" s="329"/>
    </row>
    <row r="2136" ht="12.75">
      <c r="W2136" s="329"/>
    </row>
    <row r="2137" ht="12.75">
      <c r="W2137" s="329"/>
    </row>
    <row r="2138" ht="12.75">
      <c r="W2138" s="329"/>
    </row>
    <row r="2139" ht="12.75">
      <c r="W2139" s="329"/>
    </row>
    <row r="2140" ht="12.75">
      <c r="W2140" s="329"/>
    </row>
    <row r="2141" ht="12.75">
      <c r="W2141" s="329"/>
    </row>
    <row r="2142" ht="12.75">
      <c r="W2142" s="329"/>
    </row>
    <row r="2143" ht="12.75">
      <c r="W2143" s="329"/>
    </row>
    <row r="2144" ht="12.75">
      <c r="W2144" s="329"/>
    </row>
    <row r="2145" ht="12.75">
      <c r="W2145" s="329"/>
    </row>
    <row r="2146" ht="12.75">
      <c r="W2146" s="329"/>
    </row>
    <row r="2147" ht="12.75">
      <c r="W2147" s="329"/>
    </row>
    <row r="2148" ht="12.75">
      <c r="W2148" s="329"/>
    </row>
    <row r="2149" ht="12.75">
      <c r="W2149" s="329"/>
    </row>
    <row r="2150" ht="12.75">
      <c r="W2150" s="329"/>
    </row>
    <row r="2151" ht="12.75">
      <c r="W2151" s="329"/>
    </row>
    <row r="2152" ht="12.75">
      <c r="W2152" s="329"/>
    </row>
    <row r="2153" ht="12.75">
      <c r="W2153" s="329"/>
    </row>
    <row r="2154" ht="12.75">
      <c r="W2154" s="329"/>
    </row>
    <row r="2155" ht="12.75">
      <c r="W2155" s="329"/>
    </row>
    <row r="2156" ht="12.75">
      <c r="W2156" s="329"/>
    </row>
    <row r="2157" ht="12.75">
      <c r="W2157" s="329"/>
    </row>
    <row r="2158" ht="12.75">
      <c r="W2158" s="329"/>
    </row>
    <row r="2159" ht="12.75">
      <c r="W2159" s="329"/>
    </row>
    <row r="2160" ht="12.75">
      <c r="W2160" s="329"/>
    </row>
    <row r="2161" ht="12.75">
      <c r="W2161" s="329"/>
    </row>
    <row r="2162" ht="12.75">
      <c r="W2162" s="329"/>
    </row>
    <row r="2163" ht="12.75">
      <c r="W2163" s="329"/>
    </row>
    <row r="2164" ht="12.75">
      <c r="W2164" s="329"/>
    </row>
    <row r="2165" ht="12.75">
      <c r="W2165" s="329"/>
    </row>
    <row r="2166" ht="12.75">
      <c r="W2166" s="329"/>
    </row>
    <row r="2167" ht="12.75">
      <c r="W2167" s="329"/>
    </row>
    <row r="2168" ht="12.75">
      <c r="W2168" s="329"/>
    </row>
    <row r="2169" ht="12.75">
      <c r="W2169" s="329"/>
    </row>
    <row r="2170" ht="12.75">
      <c r="W2170" s="329"/>
    </row>
    <row r="2171" ht="12.75">
      <c r="W2171" s="329"/>
    </row>
    <row r="2172" ht="12.75">
      <c r="W2172" s="329"/>
    </row>
    <row r="2173" ht="12.75">
      <c r="W2173" s="329"/>
    </row>
    <row r="2174" ht="12.75">
      <c r="W2174" s="329"/>
    </row>
    <row r="2175" ht="12.75">
      <c r="W2175" s="329"/>
    </row>
    <row r="2176" ht="12.75">
      <c r="W2176" s="329"/>
    </row>
    <row r="2177" ht="12.75">
      <c r="W2177" s="329"/>
    </row>
    <row r="2178" ht="12.75">
      <c r="W2178" s="329"/>
    </row>
    <row r="2179" ht="12.75">
      <c r="W2179" s="329"/>
    </row>
    <row r="2180" ht="12.75">
      <c r="W2180" s="329"/>
    </row>
    <row r="2181" ht="12.75">
      <c r="W2181" s="329"/>
    </row>
    <row r="2182" ht="12.75">
      <c r="W2182" s="329"/>
    </row>
    <row r="2183" ht="12.75">
      <c r="W2183" s="329"/>
    </row>
    <row r="2184" ht="12.75">
      <c r="W2184" s="329"/>
    </row>
    <row r="2185" ht="12.75">
      <c r="W2185" s="329"/>
    </row>
    <row r="2186" ht="12.75">
      <c r="W2186" s="329"/>
    </row>
    <row r="2187" ht="12.75">
      <c r="W2187" s="329"/>
    </row>
    <row r="2188" ht="12.75">
      <c r="W2188" s="329"/>
    </row>
    <row r="2189" ht="12.75">
      <c r="W2189" s="329"/>
    </row>
    <row r="2190" ht="12.75">
      <c r="W2190" s="329"/>
    </row>
    <row r="2191" ht="12.75">
      <c r="W2191" s="329"/>
    </row>
    <row r="2192" ht="12.75">
      <c r="W2192" s="329"/>
    </row>
    <row r="2193" ht="12.75">
      <c r="W2193" s="329"/>
    </row>
    <row r="2194" ht="12.75">
      <c r="W2194" s="329"/>
    </row>
    <row r="2195" ht="12.75">
      <c r="W2195" s="329"/>
    </row>
    <row r="2196" ht="12.75">
      <c r="W2196" s="329"/>
    </row>
    <row r="2197" ht="12.75">
      <c r="W2197" s="329"/>
    </row>
    <row r="2198" ht="12.75">
      <c r="W2198" s="329"/>
    </row>
    <row r="2199" ht="12.75">
      <c r="W2199" s="329"/>
    </row>
    <row r="2200" ht="12.75">
      <c r="W2200" s="329"/>
    </row>
    <row r="2201" ht="12.75">
      <c r="W2201" s="329"/>
    </row>
    <row r="2202" ht="12.75">
      <c r="W2202" s="329"/>
    </row>
    <row r="2203" ht="12.75">
      <c r="W2203" s="329"/>
    </row>
    <row r="2204" ht="12.75">
      <c r="W2204" s="329"/>
    </row>
    <row r="2205" ht="12.75">
      <c r="W2205" s="329"/>
    </row>
    <row r="2206" ht="12.75">
      <c r="W2206" s="329"/>
    </row>
    <row r="2207" ht="12.75">
      <c r="W2207" s="329"/>
    </row>
    <row r="2208" ht="12.75">
      <c r="W2208" s="329"/>
    </row>
    <row r="2209" ht="12.75">
      <c r="W2209" s="329"/>
    </row>
    <row r="2210" ht="12.75">
      <c r="W2210" s="329"/>
    </row>
    <row r="2211" ht="12.75">
      <c r="W2211" s="329"/>
    </row>
    <row r="2212" ht="12.75">
      <c r="W2212" s="329"/>
    </row>
    <row r="2213" ht="12.75">
      <c r="W2213" s="329"/>
    </row>
    <row r="2214" ht="12.75">
      <c r="W2214" s="329"/>
    </row>
    <row r="2215" ht="12.75">
      <c r="W2215" s="329"/>
    </row>
    <row r="2216" ht="12.75">
      <c r="W2216" s="329"/>
    </row>
    <row r="2217" ht="12.75">
      <c r="W2217" s="329"/>
    </row>
    <row r="2218" ht="12.75">
      <c r="W2218" s="329"/>
    </row>
    <row r="2219" ht="12.75">
      <c r="W2219" s="329"/>
    </row>
    <row r="2220" ht="12.75">
      <c r="W2220" s="329"/>
    </row>
    <row r="2221" ht="12.75">
      <c r="W2221" s="329"/>
    </row>
    <row r="2222" ht="12.75">
      <c r="W2222" s="329"/>
    </row>
    <row r="2223" ht="12.75">
      <c r="W2223" s="329"/>
    </row>
    <row r="2224" ht="12.75">
      <c r="W2224" s="329"/>
    </row>
    <row r="2225" ht="12.75">
      <c r="W2225" s="329"/>
    </row>
    <row r="2226" ht="12.75">
      <c r="W2226" s="329"/>
    </row>
    <row r="2227" ht="12.75">
      <c r="W2227" s="329"/>
    </row>
    <row r="2228" ht="12.75">
      <c r="W2228" s="329"/>
    </row>
    <row r="2229" ht="12.75">
      <c r="W2229" s="329"/>
    </row>
    <row r="2230" ht="12.75">
      <c r="W2230" s="329"/>
    </row>
    <row r="2231" ht="12.75">
      <c r="W2231" s="329"/>
    </row>
    <row r="2232" ht="12.75">
      <c r="W2232" s="329"/>
    </row>
    <row r="2233" ht="12.75">
      <c r="W2233" s="329"/>
    </row>
    <row r="2234" ht="12.75">
      <c r="W2234" s="329"/>
    </row>
    <row r="2235" ht="12.75">
      <c r="W2235" s="329"/>
    </row>
    <row r="2236" ht="12.75">
      <c r="W2236" s="329"/>
    </row>
    <row r="2237" ht="12.75">
      <c r="W2237" s="329"/>
    </row>
    <row r="2238" ht="12.75">
      <c r="W2238" s="329"/>
    </row>
    <row r="2239" ht="12.75">
      <c r="W2239" s="329"/>
    </row>
    <row r="2240" ht="12.75">
      <c r="W2240" s="329"/>
    </row>
    <row r="2241" ht="12.75">
      <c r="W2241" s="329"/>
    </row>
    <row r="2242" ht="12.75">
      <c r="W2242" s="329"/>
    </row>
    <row r="2243" ht="12.75">
      <c r="W2243" s="329"/>
    </row>
    <row r="2244" ht="12.75">
      <c r="W2244" s="329"/>
    </row>
    <row r="2245" ht="12.75">
      <c r="W2245" s="329"/>
    </row>
    <row r="2246" ht="12.75">
      <c r="W2246" s="329"/>
    </row>
    <row r="2247" ht="12.75">
      <c r="W2247" s="329"/>
    </row>
    <row r="2248" ht="12.75">
      <c r="W2248" s="329"/>
    </row>
    <row r="2249" ht="12.75">
      <c r="W2249" s="329"/>
    </row>
    <row r="2250" ht="12.75">
      <c r="W2250" s="329"/>
    </row>
    <row r="2251" ht="12.75">
      <c r="W2251" s="329"/>
    </row>
    <row r="2252" ht="12.75">
      <c r="W2252" s="329"/>
    </row>
    <row r="2253" ht="12.75">
      <c r="W2253" s="329"/>
    </row>
    <row r="2254" ht="12.75">
      <c r="W2254" s="329"/>
    </row>
    <row r="2255" ht="12.75">
      <c r="W2255" s="329"/>
    </row>
    <row r="2256" ht="12.75">
      <c r="W2256" s="329"/>
    </row>
    <row r="2257" ht="12.75">
      <c r="W2257" s="329"/>
    </row>
    <row r="2258" ht="12.75">
      <c r="W2258" s="329"/>
    </row>
    <row r="2259" ht="12.75">
      <c r="W2259" s="329"/>
    </row>
    <row r="2260" ht="12.75">
      <c r="W2260" s="329"/>
    </row>
    <row r="2261" ht="12.75">
      <c r="W2261" s="329"/>
    </row>
    <row r="2262" ht="12.75">
      <c r="W2262" s="329"/>
    </row>
    <row r="2263" ht="12.75">
      <c r="W2263" s="329"/>
    </row>
    <row r="2264" ht="12.75">
      <c r="W2264" s="329"/>
    </row>
    <row r="2265" ht="12.75">
      <c r="W2265" s="329"/>
    </row>
    <row r="2266" ht="12.75">
      <c r="W2266" s="329"/>
    </row>
    <row r="2267" ht="12.75">
      <c r="W2267" s="329"/>
    </row>
    <row r="2268" ht="12.75">
      <c r="W2268" s="329"/>
    </row>
    <row r="2269" ht="12.75">
      <c r="W2269" s="329"/>
    </row>
    <row r="2270" ht="12.75">
      <c r="W2270" s="329"/>
    </row>
    <row r="2271" ht="12.75">
      <c r="W2271" s="329"/>
    </row>
    <row r="2272" ht="12.75">
      <c r="W2272" s="329"/>
    </row>
    <row r="2273" ht="12.75">
      <c r="W2273" s="329"/>
    </row>
    <row r="2274" ht="12.75">
      <c r="W2274" s="329"/>
    </row>
    <row r="2275" ht="12.75">
      <c r="W2275" s="329"/>
    </row>
    <row r="2276" ht="12.75">
      <c r="W2276" s="329"/>
    </row>
    <row r="2277" ht="12.75">
      <c r="W2277" s="329"/>
    </row>
    <row r="2278" ht="12.75">
      <c r="W2278" s="329"/>
    </row>
    <row r="2279" ht="12.75">
      <c r="W2279" s="329"/>
    </row>
    <row r="2280" ht="12.75">
      <c r="W2280" s="329"/>
    </row>
    <row r="2281" ht="12.75">
      <c r="W2281" s="329"/>
    </row>
    <row r="2282" ht="12.75">
      <c r="W2282" s="329"/>
    </row>
    <row r="2283" ht="12.75">
      <c r="W2283" s="329"/>
    </row>
    <row r="2284" ht="12.75">
      <c r="W2284" s="329"/>
    </row>
    <row r="2285" ht="12.75">
      <c r="W2285" s="329"/>
    </row>
    <row r="2286" ht="12.75">
      <c r="W2286" s="329"/>
    </row>
    <row r="2287" ht="12.75">
      <c r="W2287" s="329"/>
    </row>
    <row r="2288" ht="12.75">
      <c r="W2288" s="329"/>
    </row>
    <row r="2289" ht="12.75">
      <c r="W2289" s="329"/>
    </row>
    <row r="2290" ht="12.75">
      <c r="W2290" s="329"/>
    </row>
    <row r="2291" ht="12.75">
      <c r="W2291" s="329"/>
    </row>
    <row r="2292" ht="12.75">
      <c r="W2292" s="329"/>
    </row>
    <row r="2293" ht="12.75">
      <c r="W2293" s="329"/>
    </row>
    <row r="2294" ht="12.75">
      <c r="W2294" s="329"/>
    </row>
    <row r="2295" ht="12.75">
      <c r="W2295" s="329"/>
    </row>
    <row r="2296" ht="12.75">
      <c r="W2296" s="329"/>
    </row>
    <row r="2297" ht="12.75">
      <c r="W2297" s="329"/>
    </row>
    <row r="2298" ht="12.75">
      <c r="W2298" s="329"/>
    </row>
    <row r="2299" ht="12.75">
      <c r="W2299" s="329"/>
    </row>
    <row r="2300" ht="12.75">
      <c r="W2300" s="329"/>
    </row>
    <row r="2301" ht="12.75">
      <c r="W2301" s="329"/>
    </row>
    <row r="2302" ht="12.75">
      <c r="W2302" s="329"/>
    </row>
    <row r="2303" ht="12.75">
      <c r="W2303" s="329"/>
    </row>
    <row r="2304" ht="12.75">
      <c r="W2304" s="329"/>
    </row>
    <row r="2305" ht="12.75">
      <c r="W2305" s="329"/>
    </row>
    <row r="2306" ht="12.75">
      <c r="W2306" s="329"/>
    </row>
    <row r="2307" ht="12.75">
      <c r="W2307" s="329"/>
    </row>
    <row r="2308" ht="12.75">
      <c r="W2308" s="329"/>
    </row>
    <row r="2309" ht="12.75">
      <c r="W2309" s="329"/>
    </row>
    <row r="2310" ht="12.75">
      <c r="W2310" s="329"/>
    </row>
    <row r="2311" ht="12.75">
      <c r="W2311" s="329"/>
    </row>
    <row r="2312" ht="12.75">
      <c r="W2312" s="329"/>
    </row>
    <row r="2313" ht="12.75">
      <c r="W2313" s="329"/>
    </row>
    <row r="2314" ht="12.75">
      <c r="W2314" s="329"/>
    </row>
    <row r="2315" ht="12.75">
      <c r="W2315" s="329"/>
    </row>
    <row r="2316" ht="12.75">
      <c r="W2316" s="329"/>
    </row>
    <row r="2317" ht="12.75">
      <c r="W2317" s="329"/>
    </row>
    <row r="2318" ht="12.75">
      <c r="W2318" s="329"/>
    </row>
    <row r="2319" ht="12.75">
      <c r="W2319" s="329"/>
    </row>
    <row r="2320" ht="12.75">
      <c r="W2320" s="329"/>
    </row>
    <row r="2321" ht="12.75">
      <c r="W2321" s="329"/>
    </row>
    <row r="2322" ht="12.75">
      <c r="W2322" s="329"/>
    </row>
    <row r="2323" ht="12.75">
      <c r="W2323" s="329"/>
    </row>
    <row r="2324" ht="12.75">
      <c r="W2324" s="329"/>
    </row>
    <row r="2325" ht="12.75">
      <c r="W2325" s="329"/>
    </row>
    <row r="2326" ht="12.75">
      <c r="W2326" s="329"/>
    </row>
    <row r="2327" ht="12.75">
      <c r="W2327" s="329"/>
    </row>
    <row r="2328" ht="12.75">
      <c r="W2328" s="329"/>
    </row>
    <row r="2329" ht="12.75">
      <c r="W2329" s="329"/>
    </row>
    <row r="2330" ht="12.75">
      <c r="W2330" s="329"/>
    </row>
    <row r="2331" ht="12.75">
      <c r="W2331" s="329"/>
    </row>
    <row r="2332" ht="12.75">
      <c r="W2332" s="329"/>
    </row>
    <row r="2333" ht="12.75">
      <c r="W2333" s="329"/>
    </row>
    <row r="2334" ht="12.75">
      <c r="W2334" s="329"/>
    </row>
    <row r="2335" ht="12.75">
      <c r="W2335" s="329"/>
    </row>
    <row r="2336" ht="12.75">
      <c r="W2336" s="329"/>
    </row>
    <row r="2337" ht="12.75">
      <c r="W2337" s="329"/>
    </row>
    <row r="2338" ht="12.75">
      <c r="W2338" s="329"/>
    </row>
    <row r="2339" ht="12.75">
      <c r="W2339" s="329"/>
    </row>
    <row r="2340" ht="12.75">
      <c r="W2340" s="329"/>
    </row>
    <row r="2341" ht="12.75">
      <c r="W2341" s="329"/>
    </row>
    <row r="2342" ht="12.75">
      <c r="W2342" s="329"/>
    </row>
    <row r="2343" ht="12.75">
      <c r="W2343" s="329"/>
    </row>
    <row r="2344" ht="12.75">
      <c r="W2344" s="329"/>
    </row>
    <row r="2345" ht="12.75">
      <c r="W2345" s="329"/>
    </row>
    <row r="2346" ht="12.75">
      <c r="W2346" s="329"/>
    </row>
    <row r="2347" ht="12.75">
      <c r="W2347" s="329"/>
    </row>
    <row r="2348" ht="12.75">
      <c r="W2348" s="329"/>
    </row>
    <row r="2349" ht="12.75">
      <c r="W2349" s="329"/>
    </row>
    <row r="2350" ht="12.75">
      <c r="W2350" s="329"/>
    </row>
    <row r="2351" ht="12.75">
      <c r="W2351" s="329"/>
    </row>
    <row r="2352" ht="12.75">
      <c r="W2352" s="329"/>
    </row>
    <row r="2353" ht="12.75">
      <c r="W2353" s="329"/>
    </row>
    <row r="2354" ht="12.75">
      <c r="W2354" s="329"/>
    </row>
    <row r="2355" ht="12.75">
      <c r="W2355" s="329"/>
    </row>
    <row r="2356" ht="12.75">
      <c r="W2356" s="329"/>
    </row>
    <row r="2357" ht="12.75">
      <c r="W2357" s="329"/>
    </row>
    <row r="2358" ht="12.75">
      <c r="W2358" s="329"/>
    </row>
    <row r="2359" ht="12.75">
      <c r="W2359" s="329"/>
    </row>
    <row r="2360" ht="12.75">
      <c r="W2360" s="329"/>
    </row>
    <row r="2361" ht="12.75">
      <c r="W2361" s="329"/>
    </row>
    <row r="2362" ht="12.75">
      <c r="W2362" s="329"/>
    </row>
    <row r="2363" ht="12.75">
      <c r="W2363" s="329"/>
    </row>
    <row r="2364" ht="12.75">
      <c r="W2364" s="329"/>
    </row>
    <row r="2365" ht="12.75">
      <c r="W2365" s="329"/>
    </row>
    <row r="2366" ht="12.75">
      <c r="W2366" s="329"/>
    </row>
    <row r="2367" ht="12.75">
      <c r="W2367" s="329"/>
    </row>
    <row r="2368" ht="12.75">
      <c r="W2368" s="329"/>
    </row>
    <row r="2369" ht="12.75">
      <c r="W2369" s="329"/>
    </row>
    <row r="2370" ht="12.75">
      <c r="W2370" s="329"/>
    </row>
    <row r="2371" ht="12.75">
      <c r="W2371" s="329"/>
    </row>
    <row r="2372" ht="12.75">
      <c r="W2372" s="329"/>
    </row>
    <row r="2373" ht="12.75">
      <c r="W2373" s="329"/>
    </row>
    <row r="2374" ht="12.75">
      <c r="W2374" s="329"/>
    </row>
    <row r="2375" ht="12.75">
      <c r="W2375" s="329"/>
    </row>
    <row r="2376" ht="12.75">
      <c r="W2376" s="329"/>
    </row>
    <row r="2377" ht="12.75">
      <c r="W2377" s="329"/>
    </row>
    <row r="2378" ht="12.75">
      <c r="W2378" s="329"/>
    </row>
    <row r="2379" ht="12.75">
      <c r="W2379" s="329"/>
    </row>
    <row r="2380" ht="12.75">
      <c r="W2380" s="329"/>
    </row>
    <row r="2381" ht="12.75">
      <c r="W2381" s="329"/>
    </row>
    <row r="2382" ht="12.75">
      <c r="W2382" s="329"/>
    </row>
    <row r="2383" ht="12.75">
      <c r="W2383" s="329"/>
    </row>
    <row r="2384" ht="12.75">
      <c r="W2384" s="329"/>
    </row>
    <row r="2385" ht="12.75">
      <c r="W2385" s="329"/>
    </row>
    <row r="2386" ht="12.75">
      <c r="W2386" s="329"/>
    </row>
    <row r="2387" ht="12.75">
      <c r="W2387" s="329"/>
    </row>
    <row r="2388" ht="12.75">
      <c r="W2388" s="329"/>
    </row>
    <row r="2389" ht="12.75">
      <c r="W2389" s="329"/>
    </row>
    <row r="2390" ht="12.75">
      <c r="W2390" s="329"/>
    </row>
    <row r="2391" ht="12.75">
      <c r="W2391" s="329"/>
    </row>
    <row r="2392" ht="12.75">
      <c r="W2392" s="329"/>
    </row>
    <row r="2393" ht="12.75">
      <c r="W2393" s="329"/>
    </row>
    <row r="2394" ht="12.75">
      <c r="W2394" s="329"/>
    </row>
    <row r="2395" ht="12.75">
      <c r="W2395" s="329"/>
    </row>
    <row r="2396" ht="12.75">
      <c r="W2396" s="329"/>
    </row>
    <row r="2397" ht="12.75">
      <c r="W2397" s="329"/>
    </row>
    <row r="2398" ht="12.75">
      <c r="W2398" s="329"/>
    </row>
    <row r="2399" ht="12.75">
      <c r="W2399" s="329"/>
    </row>
    <row r="2400" ht="12.75">
      <c r="W2400" s="329"/>
    </row>
    <row r="2401" ht="12.75">
      <c r="W2401" s="329"/>
    </row>
    <row r="2402" ht="12.75">
      <c r="W2402" s="329"/>
    </row>
    <row r="2403" ht="12.75">
      <c r="W2403" s="329"/>
    </row>
    <row r="2404" ht="12.75">
      <c r="W2404" s="329"/>
    </row>
    <row r="2405" ht="12.75">
      <c r="W2405" s="329"/>
    </row>
    <row r="2406" ht="12.75">
      <c r="W2406" s="329"/>
    </row>
    <row r="2407" ht="12.75">
      <c r="W2407" s="329"/>
    </row>
    <row r="2408" ht="12.75">
      <c r="W2408" s="329"/>
    </row>
    <row r="2409" ht="12.75">
      <c r="W2409" s="329"/>
    </row>
    <row r="2410" ht="12.75">
      <c r="W2410" s="329"/>
    </row>
    <row r="2411" ht="12.75">
      <c r="W2411" s="329"/>
    </row>
    <row r="2412" ht="12.75">
      <c r="W2412" s="329"/>
    </row>
    <row r="2413" ht="12.75">
      <c r="W2413" s="329"/>
    </row>
    <row r="2414" ht="12.75">
      <c r="W2414" s="329"/>
    </row>
    <row r="2415" ht="12.75">
      <c r="W2415" s="329"/>
    </row>
    <row r="2416" ht="12.75">
      <c r="W2416" s="329"/>
    </row>
    <row r="2417" ht="12.75">
      <c r="W2417" s="329"/>
    </row>
    <row r="2418" ht="12.75">
      <c r="W2418" s="329"/>
    </row>
    <row r="2419" ht="12.75">
      <c r="W2419" s="329"/>
    </row>
    <row r="2420" ht="12.75">
      <c r="W2420" s="329"/>
    </row>
    <row r="2421" ht="12.75">
      <c r="W2421" s="329"/>
    </row>
    <row r="2422" ht="12.75">
      <c r="W2422" s="329"/>
    </row>
    <row r="2423" ht="12.75">
      <c r="W2423" s="329"/>
    </row>
    <row r="2424" ht="12.75">
      <c r="W2424" s="329"/>
    </row>
    <row r="2425" ht="12.75">
      <c r="W2425" s="329"/>
    </row>
    <row r="2426" ht="12.75">
      <c r="W2426" s="329"/>
    </row>
    <row r="2427" ht="12.75">
      <c r="W2427" s="329"/>
    </row>
    <row r="2428" ht="12.75">
      <c r="W2428" s="329"/>
    </row>
    <row r="2429" ht="12.75">
      <c r="W2429" s="329"/>
    </row>
    <row r="2430" ht="12.75">
      <c r="W2430" s="329"/>
    </row>
    <row r="2431" ht="12.75">
      <c r="W2431" s="329"/>
    </row>
    <row r="2432" ht="12.75">
      <c r="W2432" s="329"/>
    </row>
    <row r="2433" ht="12.75">
      <c r="W2433" s="329"/>
    </row>
    <row r="2434" ht="12.75">
      <c r="W2434" s="329"/>
    </row>
    <row r="2435" ht="12.75">
      <c r="W2435" s="329"/>
    </row>
    <row r="2436" ht="12.75">
      <c r="W2436" s="329"/>
    </row>
    <row r="2437" ht="12.75">
      <c r="W2437" s="329"/>
    </row>
    <row r="2438" ht="12.75">
      <c r="W2438" s="329"/>
    </row>
    <row r="2439" ht="12.75">
      <c r="W2439" s="329"/>
    </row>
    <row r="2440" ht="12.75">
      <c r="W2440" s="329"/>
    </row>
    <row r="2441" ht="12.75">
      <c r="W2441" s="329"/>
    </row>
    <row r="2442" ht="12.75">
      <c r="W2442" s="329"/>
    </row>
    <row r="2443" ht="12.75">
      <c r="W2443" s="329"/>
    </row>
    <row r="2444" ht="12.75">
      <c r="W2444" s="329"/>
    </row>
    <row r="2445" ht="12.75">
      <c r="W2445" s="329"/>
    </row>
    <row r="2446" ht="12.75">
      <c r="W2446" s="329"/>
    </row>
    <row r="2447" ht="12.75">
      <c r="W2447" s="329"/>
    </row>
    <row r="2448" ht="12.75">
      <c r="W2448" s="329"/>
    </row>
    <row r="2449" ht="12.75">
      <c r="W2449" s="329"/>
    </row>
    <row r="2450" ht="12.75">
      <c r="W2450" s="329"/>
    </row>
    <row r="2451" ht="12.75">
      <c r="W2451" s="329"/>
    </row>
    <row r="2452" ht="12.75">
      <c r="W2452" s="329"/>
    </row>
    <row r="2453" ht="12.75">
      <c r="W2453" s="329"/>
    </row>
    <row r="2454" ht="12.75">
      <c r="W2454" s="329"/>
    </row>
    <row r="2455" ht="12.75">
      <c r="W2455" s="329"/>
    </row>
    <row r="2456" ht="12.75">
      <c r="W2456" s="329"/>
    </row>
    <row r="2457" ht="12.75">
      <c r="W2457" s="329"/>
    </row>
    <row r="2458" ht="12.75">
      <c r="W2458" s="329"/>
    </row>
    <row r="2459" ht="12.75">
      <c r="W2459" s="329"/>
    </row>
    <row r="2460" ht="12.75">
      <c r="W2460" s="329"/>
    </row>
    <row r="2461" ht="12.75">
      <c r="W2461" s="329"/>
    </row>
    <row r="2462" ht="12.75">
      <c r="W2462" s="329"/>
    </row>
    <row r="2463" ht="12.75">
      <c r="W2463" s="329"/>
    </row>
    <row r="2464" ht="12.75">
      <c r="W2464" s="329"/>
    </row>
    <row r="2465" ht="12.75">
      <c r="W2465" s="329"/>
    </row>
    <row r="2466" ht="12.75">
      <c r="W2466" s="329"/>
    </row>
    <row r="2467" ht="12.75">
      <c r="W2467" s="329"/>
    </row>
    <row r="2468" ht="12.75">
      <c r="W2468" s="329"/>
    </row>
    <row r="2469" ht="12.75">
      <c r="W2469" s="329"/>
    </row>
    <row r="2470" ht="12.75">
      <c r="W2470" s="329"/>
    </row>
    <row r="2471" ht="12.75">
      <c r="W2471" s="329"/>
    </row>
    <row r="2472" ht="12.75">
      <c r="W2472" s="329"/>
    </row>
    <row r="2473" ht="12.75">
      <c r="W2473" s="329"/>
    </row>
    <row r="2474" ht="12.75">
      <c r="W2474" s="329"/>
    </row>
    <row r="2475" ht="12.75">
      <c r="W2475" s="329"/>
    </row>
    <row r="2476" ht="12.75">
      <c r="W2476" s="329"/>
    </row>
    <row r="2477" ht="12.75">
      <c r="W2477" s="329"/>
    </row>
    <row r="2478" ht="12.75">
      <c r="W2478" s="329"/>
    </row>
    <row r="2479" ht="12.75">
      <c r="W2479" s="329"/>
    </row>
    <row r="2480" ht="12.75">
      <c r="W2480" s="329"/>
    </row>
    <row r="2481" ht="12.75">
      <c r="W2481" s="329"/>
    </row>
    <row r="2482" ht="12.75">
      <c r="W2482" s="329"/>
    </row>
    <row r="2483" ht="12.75">
      <c r="W2483" s="329"/>
    </row>
    <row r="2484" ht="12.75">
      <c r="W2484" s="329"/>
    </row>
    <row r="2485" ht="12.75">
      <c r="W2485" s="329"/>
    </row>
    <row r="2486" ht="12.75">
      <c r="W2486" s="329"/>
    </row>
    <row r="2487" ht="12.75">
      <c r="W2487" s="329"/>
    </row>
    <row r="2488" ht="12.75">
      <c r="W2488" s="329"/>
    </row>
    <row r="2489" ht="12.75">
      <c r="W2489" s="329"/>
    </row>
    <row r="2490" ht="12.75">
      <c r="W2490" s="329"/>
    </row>
    <row r="2491" ht="12.75">
      <c r="W2491" s="329"/>
    </row>
    <row r="2492" ht="12.75">
      <c r="W2492" s="329"/>
    </row>
    <row r="2493" ht="12.75">
      <c r="W2493" s="329"/>
    </row>
    <row r="2494" ht="12.75">
      <c r="W2494" s="329"/>
    </row>
    <row r="2495" ht="12.75">
      <c r="W2495" s="329"/>
    </row>
    <row r="2496" ht="12.75">
      <c r="W2496" s="329"/>
    </row>
    <row r="2497" ht="12.75">
      <c r="W2497" s="329"/>
    </row>
    <row r="2498" ht="12.75">
      <c r="W2498" s="329"/>
    </row>
    <row r="2499" ht="12.75">
      <c r="W2499" s="329"/>
    </row>
    <row r="2500" ht="12.75">
      <c r="W2500" s="329"/>
    </row>
    <row r="2501" ht="12.75">
      <c r="W2501" s="329"/>
    </row>
    <row r="2502" ht="12.75">
      <c r="W2502" s="329"/>
    </row>
    <row r="2503" ht="12.75">
      <c r="W2503" s="329"/>
    </row>
    <row r="2504" ht="12.75">
      <c r="W2504" s="329"/>
    </row>
    <row r="2505" ht="12.75">
      <c r="W2505" s="329"/>
    </row>
    <row r="2506" ht="12.75">
      <c r="W2506" s="329"/>
    </row>
    <row r="2507" ht="12.75">
      <c r="W2507" s="329"/>
    </row>
    <row r="2508" ht="12.75">
      <c r="W2508" s="329"/>
    </row>
    <row r="2509" ht="12.75">
      <c r="W2509" s="329"/>
    </row>
    <row r="2510" ht="12.75">
      <c r="W2510" s="329"/>
    </row>
    <row r="2511" ht="12.75">
      <c r="W2511" s="329"/>
    </row>
    <row r="2512" ht="12.75">
      <c r="W2512" s="329"/>
    </row>
    <row r="2513" ht="12.75">
      <c r="W2513" s="329"/>
    </row>
    <row r="2514" ht="12.75">
      <c r="W2514" s="329"/>
    </row>
    <row r="2515" ht="12.75">
      <c r="W2515" s="329"/>
    </row>
    <row r="2516" ht="12.75">
      <c r="W2516" s="329"/>
    </row>
    <row r="2517" ht="12.75">
      <c r="W2517" s="329"/>
    </row>
    <row r="2518" ht="12.75">
      <c r="W2518" s="329"/>
    </row>
    <row r="2519" ht="12.75">
      <c r="W2519" s="329"/>
    </row>
    <row r="2520" ht="12.75">
      <c r="W2520" s="329"/>
    </row>
    <row r="2521" ht="12.75">
      <c r="W2521" s="329"/>
    </row>
    <row r="2522" ht="12.75">
      <c r="W2522" s="329"/>
    </row>
    <row r="2523" ht="12.75">
      <c r="W2523" s="329"/>
    </row>
    <row r="2524" ht="12.75">
      <c r="W2524" s="329"/>
    </row>
    <row r="2525" ht="12.75">
      <c r="W2525" s="329"/>
    </row>
    <row r="2526" ht="12.75">
      <c r="W2526" s="329"/>
    </row>
    <row r="2527" ht="12.75">
      <c r="W2527" s="329"/>
    </row>
    <row r="2528" ht="12.75">
      <c r="W2528" s="329"/>
    </row>
    <row r="2529" ht="12.75">
      <c r="W2529" s="329"/>
    </row>
    <row r="2530" ht="12.75">
      <c r="W2530" s="329"/>
    </row>
    <row r="2531" ht="12.75">
      <c r="W2531" s="329"/>
    </row>
    <row r="2532" ht="12.75">
      <c r="W2532" s="329"/>
    </row>
    <row r="2533" ht="12.75">
      <c r="W2533" s="329"/>
    </row>
    <row r="2534" ht="12.75">
      <c r="W2534" s="329"/>
    </row>
    <row r="2535" ht="12.75">
      <c r="W2535" s="329"/>
    </row>
    <row r="2536" ht="12.75">
      <c r="W2536" s="329"/>
    </row>
    <row r="2537" ht="12.75">
      <c r="W2537" s="329"/>
    </row>
    <row r="2538" ht="12.75">
      <c r="W2538" s="329"/>
    </row>
    <row r="2539" ht="12.75">
      <c r="W2539" s="329"/>
    </row>
    <row r="2540" ht="12.75">
      <c r="W2540" s="329"/>
    </row>
    <row r="2541" ht="12.75">
      <c r="W2541" s="329"/>
    </row>
    <row r="2542" ht="12.75">
      <c r="W2542" s="329"/>
    </row>
    <row r="2543" ht="12.75">
      <c r="W2543" s="329"/>
    </row>
    <row r="2544" ht="12.75">
      <c r="W2544" s="329"/>
    </row>
    <row r="2545" ht="12.75">
      <c r="W2545" s="329"/>
    </row>
    <row r="2546" ht="12.75">
      <c r="W2546" s="329"/>
    </row>
    <row r="2547" ht="12.75">
      <c r="W2547" s="329"/>
    </row>
    <row r="2548" ht="12.75">
      <c r="W2548" s="329"/>
    </row>
    <row r="2549" ht="12.75">
      <c r="W2549" s="329"/>
    </row>
    <row r="2550" ht="12.75">
      <c r="W2550" s="329"/>
    </row>
    <row r="2551" ht="12.75">
      <c r="W2551" s="329"/>
    </row>
    <row r="2552" ht="12.75">
      <c r="W2552" s="329"/>
    </row>
    <row r="2553" ht="12.75">
      <c r="W2553" s="329"/>
    </row>
    <row r="2554" ht="12.75">
      <c r="W2554" s="329"/>
    </row>
    <row r="2555" ht="12.75">
      <c r="W2555" s="329"/>
    </row>
    <row r="2556" ht="12.75">
      <c r="W2556" s="329"/>
    </row>
    <row r="2557" ht="12.75">
      <c r="W2557" s="329"/>
    </row>
    <row r="2558" ht="12.75">
      <c r="W2558" s="329"/>
    </row>
    <row r="2559" ht="12.75">
      <c r="W2559" s="329"/>
    </row>
    <row r="2560" ht="12.75">
      <c r="W2560" s="329"/>
    </row>
    <row r="2561" ht="12.75">
      <c r="W2561" s="329"/>
    </row>
    <row r="2562" ht="12.75">
      <c r="W2562" s="329"/>
    </row>
    <row r="2563" ht="12.75">
      <c r="W2563" s="329"/>
    </row>
    <row r="2564" ht="12.75">
      <c r="W2564" s="329"/>
    </row>
    <row r="2565" ht="12.75">
      <c r="W2565" s="329"/>
    </row>
    <row r="2566" ht="12.75">
      <c r="W2566" s="329"/>
    </row>
    <row r="2567" ht="12.75">
      <c r="W2567" s="329"/>
    </row>
    <row r="2568" ht="12.75">
      <c r="W2568" s="329"/>
    </row>
    <row r="2569" ht="12.75">
      <c r="W2569" s="329"/>
    </row>
    <row r="2570" ht="12.75">
      <c r="W2570" s="329"/>
    </row>
    <row r="2571" ht="12.75">
      <c r="W2571" s="329"/>
    </row>
    <row r="2572" ht="12.75">
      <c r="W2572" s="329"/>
    </row>
    <row r="2573" ht="12.75">
      <c r="W2573" s="329"/>
    </row>
    <row r="2574" ht="12.75">
      <c r="W2574" s="329"/>
    </row>
    <row r="2575" ht="12.75">
      <c r="W2575" s="329"/>
    </row>
    <row r="2576" ht="12.75">
      <c r="W2576" s="329"/>
    </row>
    <row r="2577" ht="12.75">
      <c r="W2577" s="329"/>
    </row>
    <row r="2578" ht="12.75">
      <c r="W2578" s="329"/>
    </row>
    <row r="2579" ht="12.75">
      <c r="W2579" s="329"/>
    </row>
    <row r="2580" ht="12.75">
      <c r="W2580" s="329"/>
    </row>
    <row r="2581" ht="12.75">
      <c r="W2581" s="329"/>
    </row>
    <row r="2582" ht="12.75">
      <c r="W2582" s="329"/>
    </row>
    <row r="2583" ht="12.75">
      <c r="W2583" s="329"/>
    </row>
    <row r="2584" ht="12.75">
      <c r="W2584" s="329"/>
    </row>
    <row r="2585" ht="12.75">
      <c r="W2585" s="329"/>
    </row>
    <row r="2586" ht="12.75">
      <c r="W2586" s="329"/>
    </row>
    <row r="2587" ht="12.75">
      <c r="W2587" s="329"/>
    </row>
    <row r="2588" ht="12.75">
      <c r="W2588" s="329"/>
    </row>
    <row r="2589" ht="12.75">
      <c r="W2589" s="329"/>
    </row>
    <row r="2590" ht="12.75">
      <c r="W2590" s="329"/>
    </row>
    <row r="2591" ht="12.75">
      <c r="W2591" s="329"/>
    </row>
    <row r="2592" ht="12.75">
      <c r="W2592" s="329"/>
    </row>
    <row r="2593" ht="12.75">
      <c r="W2593" s="329"/>
    </row>
    <row r="2594" ht="12.75">
      <c r="W2594" s="329"/>
    </row>
    <row r="2595" ht="12.75">
      <c r="W2595" s="329"/>
    </row>
    <row r="2596" ht="12.75">
      <c r="W2596" s="329"/>
    </row>
    <row r="2597" ht="12.75">
      <c r="W2597" s="329"/>
    </row>
    <row r="2598" ht="12.75">
      <c r="W2598" s="329"/>
    </row>
    <row r="2599" ht="12.75">
      <c r="W2599" s="329"/>
    </row>
    <row r="2600" ht="12.75">
      <c r="W2600" s="329"/>
    </row>
    <row r="2601" ht="12.75">
      <c r="W2601" s="329"/>
    </row>
    <row r="2602" ht="12.75">
      <c r="W2602" s="329"/>
    </row>
    <row r="2603" ht="12.75">
      <c r="W2603" s="329"/>
    </row>
    <row r="2604" ht="12.75">
      <c r="W2604" s="329"/>
    </row>
    <row r="2605" ht="12.75">
      <c r="W2605" s="329"/>
    </row>
    <row r="2606" ht="12.75">
      <c r="W2606" s="329"/>
    </row>
    <row r="2607" ht="12.75">
      <c r="W2607" s="329"/>
    </row>
    <row r="2608" ht="12.75">
      <c r="W2608" s="329"/>
    </row>
    <row r="2609" ht="12.75">
      <c r="W2609" s="329"/>
    </row>
    <row r="2610" ht="12.75">
      <c r="W2610" s="329"/>
    </row>
    <row r="2611" ht="12.75">
      <c r="W2611" s="329"/>
    </row>
    <row r="2612" ht="12.75">
      <c r="W2612" s="329"/>
    </row>
    <row r="2613" ht="12.75">
      <c r="W2613" s="329"/>
    </row>
    <row r="2614" ht="12.75">
      <c r="W2614" s="329"/>
    </row>
    <row r="2615" ht="12.75">
      <c r="W2615" s="329"/>
    </row>
    <row r="2616" ht="12.75">
      <c r="W2616" s="329"/>
    </row>
    <row r="2617" ht="12.75">
      <c r="W2617" s="329"/>
    </row>
    <row r="2618" ht="12.75">
      <c r="W2618" s="329"/>
    </row>
    <row r="2619" ht="12.75">
      <c r="W2619" s="329"/>
    </row>
    <row r="2620" ht="12.75">
      <c r="W2620" s="329"/>
    </row>
    <row r="2621" ht="12.75">
      <c r="W2621" s="329"/>
    </row>
    <row r="2622" ht="12.75">
      <c r="W2622" s="329"/>
    </row>
    <row r="2623" ht="12.75">
      <c r="W2623" s="329"/>
    </row>
    <row r="2624" ht="12.75">
      <c r="W2624" s="329"/>
    </row>
    <row r="2625" ht="12.75">
      <c r="W2625" s="329"/>
    </row>
    <row r="2626" ht="12.75">
      <c r="W2626" s="329"/>
    </row>
    <row r="2627" ht="12.75">
      <c r="W2627" s="329"/>
    </row>
    <row r="2628" ht="12.75">
      <c r="W2628" s="329"/>
    </row>
    <row r="2629" ht="12.75">
      <c r="W2629" s="329"/>
    </row>
    <row r="2630" ht="12.75">
      <c r="W2630" s="329"/>
    </row>
    <row r="2631" ht="12.75">
      <c r="W2631" s="329"/>
    </row>
    <row r="2632" ht="12.75">
      <c r="W2632" s="329"/>
    </row>
    <row r="2633" ht="12.75">
      <c r="W2633" s="329"/>
    </row>
    <row r="2634" ht="12.75">
      <c r="W2634" s="329"/>
    </row>
    <row r="2635" ht="12.75">
      <c r="W2635" s="329"/>
    </row>
    <row r="2636" ht="12.75">
      <c r="W2636" s="329"/>
    </row>
    <row r="2637" ht="12.75">
      <c r="W2637" s="329"/>
    </row>
    <row r="2638" ht="12.75">
      <c r="W2638" s="329"/>
    </row>
    <row r="2639" ht="12.75">
      <c r="W2639" s="329"/>
    </row>
    <row r="2640" ht="12.75">
      <c r="W2640" s="329"/>
    </row>
    <row r="2641" ht="12.75">
      <c r="W2641" s="329"/>
    </row>
    <row r="2642" ht="12.75">
      <c r="W2642" s="329"/>
    </row>
    <row r="2643" ht="12.75">
      <c r="W2643" s="329"/>
    </row>
    <row r="2644" ht="12.75">
      <c r="W2644" s="329"/>
    </row>
    <row r="2645" ht="12.75">
      <c r="W2645" s="329"/>
    </row>
    <row r="2646" ht="12.75">
      <c r="W2646" s="329"/>
    </row>
    <row r="2647" ht="12.75">
      <c r="W2647" s="329"/>
    </row>
    <row r="2648" ht="12.75">
      <c r="W2648" s="329"/>
    </row>
    <row r="2649" ht="12.75">
      <c r="W2649" s="329"/>
    </row>
    <row r="2650" ht="12.75">
      <c r="W2650" s="329"/>
    </row>
    <row r="2651" ht="12.75">
      <c r="W2651" s="329"/>
    </row>
    <row r="2652" ht="12.75">
      <c r="W2652" s="329"/>
    </row>
    <row r="2653" ht="12.75">
      <c r="W2653" s="329"/>
    </row>
    <row r="2654" ht="12.75">
      <c r="W2654" s="329"/>
    </row>
    <row r="2655" ht="12.75">
      <c r="W2655" s="329"/>
    </row>
    <row r="2656" ht="12.75">
      <c r="W2656" s="329"/>
    </row>
    <row r="2657" ht="12.75">
      <c r="W2657" s="329"/>
    </row>
    <row r="2658" ht="12.75">
      <c r="W2658" s="329"/>
    </row>
    <row r="2659" ht="12.75">
      <c r="W2659" s="329"/>
    </row>
    <row r="2660" ht="12.75">
      <c r="W2660" s="329"/>
    </row>
    <row r="2661" ht="12.75">
      <c r="W2661" s="329"/>
    </row>
    <row r="2662" ht="12.75">
      <c r="W2662" s="329"/>
    </row>
    <row r="2663" ht="12.75">
      <c r="W2663" s="329"/>
    </row>
    <row r="2664" ht="12.75">
      <c r="W2664" s="329"/>
    </row>
    <row r="2665" ht="12.75">
      <c r="W2665" s="329"/>
    </row>
    <row r="2666" ht="12.75">
      <c r="W2666" s="329"/>
    </row>
    <row r="2667" ht="12.75">
      <c r="W2667" s="329"/>
    </row>
    <row r="2668" ht="12.75">
      <c r="W2668" s="329"/>
    </row>
    <row r="2669" ht="12.75">
      <c r="W2669" s="329"/>
    </row>
    <row r="2670" ht="12.75">
      <c r="W2670" s="329"/>
    </row>
    <row r="2671" ht="12.75">
      <c r="W2671" s="329"/>
    </row>
    <row r="2672" ht="12.75">
      <c r="W2672" s="329"/>
    </row>
    <row r="2673" ht="12.75">
      <c r="W2673" s="329"/>
    </row>
    <row r="2674" ht="12.75">
      <c r="W2674" s="329"/>
    </row>
    <row r="2675" ht="12.75">
      <c r="W2675" s="329"/>
    </row>
    <row r="2676" ht="12.75">
      <c r="W2676" s="329"/>
    </row>
    <row r="2677" ht="12.75">
      <c r="W2677" s="329"/>
    </row>
    <row r="2678" ht="12.75">
      <c r="W2678" s="329"/>
    </row>
    <row r="2679" ht="12.75">
      <c r="W2679" s="329"/>
    </row>
    <row r="2680" ht="12.75">
      <c r="W2680" s="329"/>
    </row>
    <row r="2681" ht="12.75">
      <c r="W2681" s="329"/>
    </row>
    <row r="2682" ht="12.75">
      <c r="W2682" s="329"/>
    </row>
    <row r="2683" ht="12.75">
      <c r="W2683" s="329"/>
    </row>
    <row r="2684" ht="12.75">
      <c r="W2684" s="329"/>
    </row>
    <row r="2685" ht="12.75">
      <c r="W2685" s="329"/>
    </row>
    <row r="2686" ht="12.75">
      <c r="W2686" s="329"/>
    </row>
    <row r="2687" ht="12.75">
      <c r="W2687" s="329"/>
    </row>
    <row r="2688" ht="12.75">
      <c r="W2688" s="329"/>
    </row>
    <row r="2689" ht="12.75">
      <c r="W2689" s="329"/>
    </row>
    <row r="2690" ht="12.75">
      <c r="W2690" s="329"/>
    </row>
    <row r="2691" ht="12.75">
      <c r="W2691" s="329"/>
    </row>
    <row r="2692" ht="12.75">
      <c r="W2692" s="329"/>
    </row>
    <row r="2693" ht="12.75">
      <c r="W2693" s="329"/>
    </row>
    <row r="2694" ht="12.75">
      <c r="W2694" s="329"/>
    </row>
    <row r="2695" ht="12.75">
      <c r="W2695" s="329"/>
    </row>
    <row r="2696" ht="12.75">
      <c r="W2696" s="329"/>
    </row>
    <row r="2697" ht="12.75">
      <c r="W2697" s="329"/>
    </row>
    <row r="2698" ht="12.75">
      <c r="W2698" s="329"/>
    </row>
    <row r="2699" ht="12.75">
      <c r="W2699" s="329"/>
    </row>
    <row r="2700" ht="12.75">
      <c r="W2700" s="329"/>
    </row>
    <row r="2701" ht="12.75">
      <c r="W2701" s="329"/>
    </row>
    <row r="2702" ht="12.75">
      <c r="W2702" s="329"/>
    </row>
    <row r="2703" ht="12.75">
      <c r="W2703" s="329"/>
    </row>
    <row r="2704" ht="12.75">
      <c r="W2704" s="329"/>
    </row>
    <row r="2705" ht="12.75">
      <c r="W2705" s="329"/>
    </row>
    <row r="2706" ht="12.75">
      <c r="W2706" s="329"/>
    </row>
    <row r="2707" ht="12.75">
      <c r="W2707" s="329"/>
    </row>
    <row r="2708" ht="12.75">
      <c r="W2708" s="329"/>
    </row>
    <row r="2709" ht="12.75">
      <c r="W2709" s="329"/>
    </row>
    <row r="2710" ht="12.75">
      <c r="W2710" s="329"/>
    </row>
    <row r="2711" ht="12.75">
      <c r="W2711" s="329"/>
    </row>
    <row r="2712" ht="12.75">
      <c r="W2712" s="329"/>
    </row>
    <row r="2713" ht="12.75">
      <c r="W2713" s="329"/>
    </row>
    <row r="2714" ht="12.75">
      <c r="W2714" s="329"/>
    </row>
    <row r="2715" ht="12.75">
      <c r="W2715" s="329"/>
    </row>
    <row r="2716" ht="12.75">
      <c r="W2716" s="329"/>
    </row>
    <row r="2717" ht="12.75">
      <c r="W2717" s="329"/>
    </row>
    <row r="2718" ht="12.75">
      <c r="W2718" s="329"/>
    </row>
    <row r="2719" ht="12.75">
      <c r="W2719" s="329"/>
    </row>
    <row r="2720" ht="12.75">
      <c r="W2720" s="329"/>
    </row>
    <row r="2721" ht="12.75">
      <c r="W2721" s="329"/>
    </row>
    <row r="2722" ht="12.75">
      <c r="W2722" s="329"/>
    </row>
    <row r="2723" ht="12.75">
      <c r="W2723" s="329"/>
    </row>
    <row r="2724" ht="12.75">
      <c r="W2724" s="329"/>
    </row>
    <row r="2725" ht="12.75">
      <c r="W2725" s="329"/>
    </row>
    <row r="2726" ht="12.75">
      <c r="W2726" s="329"/>
    </row>
    <row r="2727" ht="12.75">
      <c r="W2727" s="329"/>
    </row>
    <row r="2728" ht="12.75">
      <c r="W2728" s="329"/>
    </row>
    <row r="2729" ht="12.75">
      <c r="W2729" s="329"/>
    </row>
    <row r="2730" ht="12.75">
      <c r="W2730" s="329"/>
    </row>
    <row r="2731" ht="12.75">
      <c r="W2731" s="329"/>
    </row>
    <row r="2732" ht="12.75">
      <c r="W2732" s="329"/>
    </row>
    <row r="2733" ht="12.75">
      <c r="W2733" s="329"/>
    </row>
    <row r="2734" ht="12.75">
      <c r="W2734" s="329"/>
    </row>
    <row r="2735" ht="12.75">
      <c r="W2735" s="329"/>
    </row>
    <row r="2736" ht="12.75">
      <c r="W2736" s="329"/>
    </row>
    <row r="2737" ht="12.75">
      <c r="W2737" s="329"/>
    </row>
    <row r="2738" ht="12.75">
      <c r="W2738" s="329"/>
    </row>
    <row r="2739" ht="12.75">
      <c r="W2739" s="329"/>
    </row>
    <row r="2740" ht="12.75">
      <c r="W2740" s="329"/>
    </row>
    <row r="2741" ht="12.75">
      <c r="W2741" s="329"/>
    </row>
    <row r="2742" ht="12.75">
      <c r="W2742" s="329"/>
    </row>
    <row r="2743" ht="12.75">
      <c r="W2743" s="329"/>
    </row>
    <row r="2744" ht="12.75">
      <c r="W2744" s="329"/>
    </row>
    <row r="2745" ht="12.75">
      <c r="W2745" s="329"/>
    </row>
    <row r="2746" ht="12.75">
      <c r="W2746" s="329"/>
    </row>
    <row r="2747" ht="12.75">
      <c r="W2747" s="329"/>
    </row>
    <row r="2748" ht="12.75">
      <c r="W2748" s="329"/>
    </row>
    <row r="2749" ht="12.75">
      <c r="W2749" s="329"/>
    </row>
    <row r="2750" ht="12.75">
      <c r="W2750" s="329"/>
    </row>
    <row r="2751" ht="12.75">
      <c r="W2751" s="329"/>
    </row>
    <row r="2752" ht="12.75">
      <c r="W2752" s="329"/>
    </row>
    <row r="2753" ht="12.75">
      <c r="W2753" s="329"/>
    </row>
    <row r="2754" ht="12.75">
      <c r="W2754" s="329"/>
    </row>
    <row r="2755" ht="12.75">
      <c r="W2755" s="329"/>
    </row>
    <row r="2756" ht="12.75">
      <c r="W2756" s="329"/>
    </row>
    <row r="2757" ht="12.75">
      <c r="W2757" s="329"/>
    </row>
    <row r="2758" ht="12.75">
      <c r="W2758" s="329"/>
    </row>
    <row r="2759" ht="12.75">
      <c r="W2759" s="329"/>
    </row>
    <row r="2760" ht="12.75">
      <c r="W2760" s="329"/>
    </row>
    <row r="2761" ht="12.75">
      <c r="W2761" s="329"/>
    </row>
    <row r="2762" ht="12.75">
      <c r="W2762" s="329"/>
    </row>
    <row r="2763" ht="12.75">
      <c r="W2763" s="329"/>
    </row>
    <row r="2764" ht="12.75">
      <c r="W2764" s="329"/>
    </row>
    <row r="2765" ht="12.75">
      <c r="W2765" s="329"/>
    </row>
    <row r="2766" ht="12.75">
      <c r="W2766" s="329"/>
    </row>
    <row r="2767" ht="12.75">
      <c r="W2767" s="329"/>
    </row>
    <row r="2768" ht="12.75">
      <c r="W2768" s="329"/>
    </row>
    <row r="2769" ht="12.75">
      <c r="W2769" s="329"/>
    </row>
    <row r="2770" ht="12.75">
      <c r="W2770" s="329"/>
    </row>
    <row r="2771" ht="12.75">
      <c r="W2771" s="329"/>
    </row>
    <row r="2772" ht="12.75">
      <c r="W2772" s="329"/>
    </row>
    <row r="2773" ht="12.75">
      <c r="W2773" s="329"/>
    </row>
    <row r="2774" ht="12.75">
      <c r="W2774" s="329"/>
    </row>
    <row r="2775" ht="12.75">
      <c r="W2775" s="329"/>
    </row>
    <row r="2776" ht="12.75">
      <c r="W2776" s="329"/>
    </row>
    <row r="2777" ht="12.75">
      <c r="W2777" s="329"/>
    </row>
    <row r="2778" ht="12.75">
      <c r="W2778" s="329"/>
    </row>
    <row r="2779" ht="12.75">
      <c r="W2779" s="329"/>
    </row>
    <row r="2780" ht="12.75">
      <c r="W2780" s="329"/>
    </row>
    <row r="2781" ht="12.75">
      <c r="W2781" s="329"/>
    </row>
    <row r="2782" ht="12.75">
      <c r="W2782" s="329"/>
    </row>
    <row r="2783" ht="12.75">
      <c r="W2783" s="329"/>
    </row>
    <row r="2784" ht="12.75">
      <c r="W2784" s="329"/>
    </row>
    <row r="2785" ht="12.75">
      <c r="W2785" s="329"/>
    </row>
    <row r="2786" ht="12.75">
      <c r="W2786" s="329"/>
    </row>
    <row r="2787" ht="12.75">
      <c r="W2787" s="329"/>
    </row>
    <row r="2788" ht="12.75">
      <c r="W2788" s="329"/>
    </row>
    <row r="2789" ht="12.75">
      <c r="W2789" s="329"/>
    </row>
    <row r="2790" ht="12.75">
      <c r="W2790" s="329"/>
    </row>
    <row r="2791" ht="12.75">
      <c r="W2791" s="329"/>
    </row>
    <row r="2792" ht="12.75">
      <c r="W2792" s="329"/>
    </row>
    <row r="2793" ht="12.75">
      <c r="W2793" s="329"/>
    </row>
    <row r="2794" ht="12.75">
      <c r="W2794" s="329"/>
    </row>
    <row r="2795" ht="12.75">
      <c r="W2795" s="329"/>
    </row>
    <row r="2796" ht="12.75">
      <c r="W2796" s="329"/>
    </row>
    <row r="2797" ht="12.75">
      <c r="W2797" s="329"/>
    </row>
    <row r="2798" ht="12.75">
      <c r="W2798" s="329"/>
    </row>
    <row r="2799" ht="12.75">
      <c r="W2799" s="329"/>
    </row>
    <row r="2800" ht="12.75">
      <c r="W2800" s="329"/>
    </row>
    <row r="2801" ht="12.75">
      <c r="W2801" s="329"/>
    </row>
    <row r="2802" ht="12.75">
      <c r="W2802" s="329"/>
    </row>
    <row r="2803" ht="12.75">
      <c r="W2803" s="329"/>
    </row>
    <row r="2804" ht="12.75">
      <c r="W2804" s="329"/>
    </row>
    <row r="2805" ht="12.75">
      <c r="W2805" s="329"/>
    </row>
    <row r="2806" ht="12.75">
      <c r="W2806" s="329"/>
    </row>
    <row r="2807" ht="12.75">
      <c r="W2807" s="329"/>
    </row>
    <row r="2808" ht="12.75">
      <c r="W2808" s="329"/>
    </row>
    <row r="2809" ht="12.75">
      <c r="W2809" s="329"/>
    </row>
    <row r="2810" ht="12.75">
      <c r="W2810" s="329"/>
    </row>
    <row r="2811" ht="12.75">
      <c r="W2811" s="329"/>
    </row>
    <row r="2812" ht="12.75">
      <c r="W2812" s="329"/>
    </row>
    <row r="2813" ht="12.75">
      <c r="W2813" s="329"/>
    </row>
    <row r="2814" ht="12.75">
      <c r="W2814" s="329"/>
    </row>
    <row r="2815" ht="12.75">
      <c r="W2815" s="329"/>
    </row>
    <row r="2816" ht="12.75">
      <c r="W2816" s="329"/>
    </row>
    <row r="2817" ht="12.75">
      <c r="W2817" s="329"/>
    </row>
    <row r="2818" ht="12.75">
      <c r="W2818" s="329"/>
    </row>
    <row r="2819" ht="12.75">
      <c r="W2819" s="329"/>
    </row>
    <row r="2820" ht="12.75">
      <c r="W2820" s="329"/>
    </row>
    <row r="2821" ht="12.75">
      <c r="W2821" s="329"/>
    </row>
    <row r="2822" ht="12.75">
      <c r="W2822" s="329"/>
    </row>
    <row r="2823" ht="12.75">
      <c r="W2823" s="329"/>
    </row>
    <row r="2824" ht="12.75">
      <c r="W2824" s="329"/>
    </row>
    <row r="2825" ht="12.75">
      <c r="W2825" s="329"/>
    </row>
    <row r="2826" ht="12.75">
      <c r="W2826" s="329"/>
    </row>
    <row r="2827" ht="12.75">
      <c r="W2827" s="329"/>
    </row>
    <row r="2828" ht="12.75">
      <c r="W2828" s="329"/>
    </row>
    <row r="2829" ht="12.75">
      <c r="W2829" s="329"/>
    </row>
    <row r="2830" ht="12.75">
      <c r="W2830" s="329"/>
    </row>
    <row r="2831" ht="12.75">
      <c r="W2831" s="329"/>
    </row>
    <row r="2832" ht="12.75">
      <c r="W2832" s="329"/>
    </row>
    <row r="2833" ht="12.75">
      <c r="W2833" s="329"/>
    </row>
    <row r="2834" ht="12.75">
      <c r="W2834" s="329"/>
    </row>
    <row r="2835" ht="12.75">
      <c r="W2835" s="329"/>
    </row>
    <row r="2836" ht="12.75">
      <c r="W2836" s="329"/>
    </row>
    <row r="2837" ht="12.75">
      <c r="W2837" s="329"/>
    </row>
    <row r="2838" ht="12.75">
      <c r="W2838" s="329"/>
    </row>
    <row r="2839" ht="12.75">
      <c r="W2839" s="329"/>
    </row>
    <row r="2840" ht="12.75">
      <c r="W2840" s="329"/>
    </row>
    <row r="2841" ht="12.75">
      <c r="W2841" s="329"/>
    </row>
    <row r="2842" ht="12.75">
      <c r="W2842" s="329"/>
    </row>
    <row r="2843" ht="12.75">
      <c r="W2843" s="329"/>
    </row>
    <row r="2844" ht="12.75">
      <c r="W2844" s="329"/>
    </row>
    <row r="2845" ht="12.75">
      <c r="W2845" s="329"/>
    </row>
    <row r="2846" ht="12.75">
      <c r="W2846" s="329"/>
    </row>
    <row r="2847" ht="12.75">
      <c r="W2847" s="329"/>
    </row>
    <row r="2848" ht="12.75">
      <c r="W2848" s="329"/>
    </row>
    <row r="2849" ht="12.75">
      <c r="W2849" s="329"/>
    </row>
    <row r="2850" ht="12.75">
      <c r="W2850" s="329"/>
    </row>
    <row r="2851" ht="12.75">
      <c r="W2851" s="329"/>
    </row>
    <row r="2852" ht="12.75">
      <c r="W2852" s="329"/>
    </row>
    <row r="2853" ht="12.75">
      <c r="W2853" s="329"/>
    </row>
    <row r="2854" ht="12.75">
      <c r="W2854" s="329"/>
    </row>
    <row r="2855" ht="12.75">
      <c r="W2855" s="329"/>
    </row>
    <row r="2856" ht="12.75">
      <c r="W2856" s="329"/>
    </row>
    <row r="2857" ht="12.75">
      <c r="W2857" s="329"/>
    </row>
    <row r="2858" ht="12.75">
      <c r="W2858" s="329"/>
    </row>
    <row r="2859" ht="12.75">
      <c r="W2859" s="329"/>
    </row>
    <row r="2860" ht="12.75">
      <c r="W2860" s="329"/>
    </row>
    <row r="2861" ht="12.75">
      <c r="W2861" s="329"/>
    </row>
    <row r="2862" ht="12.75">
      <c r="W2862" s="329"/>
    </row>
    <row r="2863" ht="12.75">
      <c r="W2863" s="329"/>
    </row>
    <row r="2864" ht="12.75">
      <c r="W2864" s="329"/>
    </row>
    <row r="2865" ht="12.75">
      <c r="W2865" s="329"/>
    </row>
    <row r="2866" ht="12.75">
      <c r="W2866" s="329"/>
    </row>
    <row r="2867" ht="12.75">
      <c r="W2867" s="329"/>
    </row>
    <row r="2868" ht="12.75">
      <c r="W2868" s="329"/>
    </row>
    <row r="2869" ht="12.75">
      <c r="W2869" s="329"/>
    </row>
    <row r="2870" ht="12.75">
      <c r="W2870" s="329"/>
    </row>
    <row r="2871" ht="12.75">
      <c r="W2871" s="329"/>
    </row>
    <row r="2872" ht="12.75">
      <c r="W2872" s="329"/>
    </row>
    <row r="2873" ht="12.75">
      <c r="W2873" s="329"/>
    </row>
    <row r="2874" ht="12.75">
      <c r="W2874" s="329"/>
    </row>
    <row r="2875" ht="12.75">
      <c r="W2875" s="329"/>
    </row>
    <row r="2876" ht="12.75">
      <c r="W2876" s="329"/>
    </row>
    <row r="2877" ht="12.75">
      <c r="W2877" s="329"/>
    </row>
    <row r="2878" ht="12.75">
      <c r="W2878" s="329"/>
    </row>
    <row r="2879" ht="12.75">
      <c r="W2879" s="329"/>
    </row>
    <row r="2880" ht="12.75">
      <c r="W2880" s="329"/>
    </row>
    <row r="2881" ht="12.75">
      <c r="W2881" s="329"/>
    </row>
    <row r="2882" ht="12.75">
      <c r="W2882" s="329"/>
    </row>
    <row r="2883" ht="12.75">
      <c r="W2883" s="329"/>
    </row>
    <row r="2884" ht="12.75">
      <c r="W2884" s="329"/>
    </row>
    <row r="2885" ht="12.75">
      <c r="W2885" s="329"/>
    </row>
    <row r="2886" ht="12.75">
      <c r="W2886" s="329"/>
    </row>
    <row r="2887" ht="12.75">
      <c r="W2887" s="329"/>
    </row>
    <row r="2888" ht="12.75">
      <c r="W2888" s="329"/>
    </row>
    <row r="2889" ht="12.75">
      <c r="W2889" s="329"/>
    </row>
    <row r="2890" ht="12.75">
      <c r="W2890" s="329"/>
    </row>
    <row r="2891" ht="12.75">
      <c r="W2891" s="329"/>
    </row>
    <row r="2892" ht="12.75">
      <c r="W2892" s="329"/>
    </row>
    <row r="2893" ht="12.75">
      <c r="W2893" s="329"/>
    </row>
    <row r="2894" ht="12.75">
      <c r="W2894" s="329"/>
    </row>
    <row r="2895" ht="12.75">
      <c r="W2895" s="329"/>
    </row>
    <row r="2896" ht="12.75">
      <c r="W2896" s="329"/>
    </row>
    <row r="2897" ht="12.75">
      <c r="W2897" s="329"/>
    </row>
    <row r="2898" ht="12.75">
      <c r="W2898" s="329"/>
    </row>
    <row r="2899" ht="12.75">
      <c r="W2899" s="329"/>
    </row>
    <row r="2900" ht="12.75">
      <c r="W2900" s="329"/>
    </row>
    <row r="2901" ht="12.75">
      <c r="W2901" s="329"/>
    </row>
    <row r="2902" ht="12.75">
      <c r="W2902" s="329"/>
    </row>
    <row r="2903" ht="12.75">
      <c r="W2903" s="329"/>
    </row>
    <row r="2904" ht="12.75">
      <c r="W2904" s="329"/>
    </row>
    <row r="2905" ht="12.75">
      <c r="W2905" s="329"/>
    </row>
    <row r="2906" ht="12.75">
      <c r="W2906" s="329"/>
    </row>
    <row r="2907" ht="12.75">
      <c r="W2907" s="329"/>
    </row>
    <row r="2908" ht="12.75">
      <c r="W2908" s="329"/>
    </row>
    <row r="2909" ht="12.75">
      <c r="W2909" s="329"/>
    </row>
    <row r="2910" ht="12.75">
      <c r="W2910" s="329"/>
    </row>
    <row r="2911" ht="12.75">
      <c r="W2911" s="329"/>
    </row>
    <row r="2912" ht="12.75">
      <c r="W2912" s="329"/>
    </row>
    <row r="2913" ht="12.75">
      <c r="W2913" s="329"/>
    </row>
    <row r="2914" ht="12.75">
      <c r="W2914" s="329"/>
    </row>
    <row r="2915" ht="12.75">
      <c r="W2915" s="329"/>
    </row>
    <row r="2916" ht="12.75">
      <c r="W2916" s="329"/>
    </row>
    <row r="2917" ht="12.75">
      <c r="W2917" s="329"/>
    </row>
    <row r="2918" ht="12.75">
      <c r="W2918" s="329"/>
    </row>
    <row r="2919" ht="12.75">
      <c r="W2919" s="329"/>
    </row>
    <row r="2920" ht="12.75">
      <c r="W2920" s="329"/>
    </row>
    <row r="2921" ht="12.75">
      <c r="W2921" s="329"/>
    </row>
    <row r="2922" ht="12.75">
      <c r="W2922" s="329"/>
    </row>
    <row r="2923" ht="12.75">
      <c r="W2923" s="329"/>
    </row>
    <row r="2924" ht="12.75">
      <c r="W2924" s="329"/>
    </row>
    <row r="2925" ht="12.75">
      <c r="W2925" s="329"/>
    </row>
    <row r="2926" ht="12.75">
      <c r="W2926" s="329"/>
    </row>
    <row r="2927" ht="12.75">
      <c r="W2927" s="329"/>
    </row>
    <row r="2928" ht="12.75">
      <c r="W2928" s="329"/>
    </row>
    <row r="2929" ht="12.75">
      <c r="W2929" s="329"/>
    </row>
    <row r="2930" ht="12.75">
      <c r="W2930" s="329"/>
    </row>
    <row r="2931" ht="12.75">
      <c r="W2931" s="329"/>
    </row>
    <row r="2932" ht="12.75">
      <c r="W2932" s="329"/>
    </row>
    <row r="2933" ht="12.75">
      <c r="W2933" s="329"/>
    </row>
    <row r="2934" ht="12.75">
      <c r="W2934" s="329"/>
    </row>
    <row r="2935" ht="12.75">
      <c r="W2935" s="329"/>
    </row>
    <row r="2936" ht="12.75">
      <c r="W2936" s="329"/>
    </row>
    <row r="2937" ht="12.75">
      <c r="W2937" s="329"/>
    </row>
    <row r="2938" ht="12.75">
      <c r="W2938" s="329"/>
    </row>
    <row r="2939" ht="12.75">
      <c r="W2939" s="329"/>
    </row>
    <row r="2940" ht="12.75">
      <c r="W2940" s="329"/>
    </row>
    <row r="2941" ht="12.75">
      <c r="W2941" s="329"/>
    </row>
    <row r="2942" ht="12.75">
      <c r="W2942" s="329"/>
    </row>
    <row r="2943" ht="12.75">
      <c r="W2943" s="329"/>
    </row>
    <row r="2944" ht="12.75">
      <c r="W2944" s="329"/>
    </row>
    <row r="2945" ht="12.75">
      <c r="W2945" s="329"/>
    </row>
    <row r="2946" ht="12.75">
      <c r="W2946" s="329"/>
    </row>
    <row r="2947" ht="12.75">
      <c r="W2947" s="329"/>
    </row>
    <row r="2948" ht="12.75">
      <c r="W2948" s="329"/>
    </row>
    <row r="2949" ht="12.75">
      <c r="W2949" s="329"/>
    </row>
    <row r="2950" ht="12.75">
      <c r="W2950" s="329"/>
    </row>
    <row r="2951" ht="12.75">
      <c r="W2951" s="329"/>
    </row>
    <row r="2952" ht="12.75">
      <c r="W2952" s="329"/>
    </row>
    <row r="2953" ht="12.75">
      <c r="W2953" s="329"/>
    </row>
    <row r="2954" ht="12.75">
      <c r="W2954" s="329"/>
    </row>
    <row r="2955" ht="12.75">
      <c r="W2955" s="329"/>
    </row>
    <row r="2956" ht="12.75">
      <c r="W2956" s="329"/>
    </row>
    <row r="2957" ht="12.75">
      <c r="W2957" s="329"/>
    </row>
    <row r="2958" ht="12.75">
      <c r="W2958" s="329"/>
    </row>
    <row r="2959" ht="12.75">
      <c r="W2959" s="329"/>
    </row>
    <row r="2960" ht="12.75">
      <c r="W2960" s="329"/>
    </row>
    <row r="2961" ht="12.75">
      <c r="W2961" s="329"/>
    </row>
    <row r="2962" ht="12.75">
      <c r="W2962" s="329"/>
    </row>
    <row r="2963" ht="12.75">
      <c r="W2963" s="329"/>
    </row>
    <row r="2964" ht="12.75">
      <c r="W2964" s="329"/>
    </row>
    <row r="2965" ht="12.75">
      <c r="W2965" s="329"/>
    </row>
    <row r="2966" ht="12.75">
      <c r="W2966" s="329"/>
    </row>
    <row r="2967" ht="12.75">
      <c r="W2967" s="329"/>
    </row>
    <row r="2968" ht="12.75">
      <c r="W2968" s="329"/>
    </row>
    <row r="2969" ht="12.75">
      <c r="W2969" s="329"/>
    </row>
    <row r="2970" ht="12.75">
      <c r="W2970" s="329"/>
    </row>
    <row r="2971" ht="12.75">
      <c r="W2971" s="329"/>
    </row>
    <row r="2972" ht="12.75">
      <c r="W2972" s="329"/>
    </row>
    <row r="2973" ht="12.75">
      <c r="W2973" s="329"/>
    </row>
    <row r="2974" ht="12.75">
      <c r="W2974" s="329"/>
    </row>
    <row r="2975" ht="12.75">
      <c r="W2975" s="329"/>
    </row>
    <row r="2976" ht="12.75">
      <c r="W2976" s="329"/>
    </row>
    <row r="2977" ht="12.75">
      <c r="W2977" s="329"/>
    </row>
    <row r="2978" ht="12.75">
      <c r="W2978" s="329"/>
    </row>
    <row r="2979" ht="12.75">
      <c r="W2979" s="329"/>
    </row>
    <row r="2980" ht="12.75">
      <c r="W2980" s="329"/>
    </row>
    <row r="2981" ht="12.75">
      <c r="W2981" s="329"/>
    </row>
    <row r="2982" ht="12.75">
      <c r="W2982" s="329"/>
    </row>
    <row r="2983" ht="12.75">
      <c r="W2983" s="329"/>
    </row>
    <row r="2984" ht="12.75">
      <c r="W2984" s="329"/>
    </row>
    <row r="2985" ht="12.75">
      <c r="W2985" s="329"/>
    </row>
    <row r="2986" ht="12.75">
      <c r="W2986" s="329"/>
    </row>
    <row r="2987" ht="12.75">
      <c r="W2987" s="329"/>
    </row>
    <row r="2988" ht="12.75">
      <c r="W2988" s="329"/>
    </row>
    <row r="2989" ht="12.75">
      <c r="W2989" s="329"/>
    </row>
    <row r="2990" ht="12.75">
      <c r="W2990" s="329"/>
    </row>
    <row r="2991" ht="12.75">
      <c r="W2991" s="329"/>
    </row>
    <row r="2992" ht="12.75">
      <c r="W2992" s="329"/>
    </row>
    <row r="2993" ht="12.75">
      <c r="W2993" s="329"/>
    </row>
    <row r="2994" ht="12.75">
      <c r="W2994" s="329"/>
    </row>
    <row r="2995" ht="12.75">
      <c r="W2995" s="329"/>
    </row>
    <row r="2996" ht="12.75">
      <c r="W2996" s="329"/>
    </row>
    <row r="2997" ht="12.75">
      <c r="W2997" s="329"/>
    </row>
    <row r="2998" ht="12.75">
      <c r="W2998" s="329"/>
    </row>
    <row r="2999" ht="12.75">
      <c r="W2999" s="329"/>
    </row>
    <row r="3000" ht="12.75">
      <c r="W3000" s="329"/>
    </row>
    <row r="3001" ht="12.75">
      <c r="W3001" s="329"/>
    </row>
    <row r="3002" ht="12.75">
      <c r="W3002" s="329"/>
    </row>
    <row r="3003" ht="12.75">
      <c r="W3003" s="329"/>
    </row>
    <row r="3004" ht="12.75">
      <c r="W3004" s="329"/>
    </row>
    <row r="3005" ht="12.75">
      <c r="W3005" s="329"/>
    </row>
    <row r="3006" ht="12.75">
      <c r="W3006" s="329"/>
    </row>
    <row r="3007" ht="12.75">
      <c r="W3007" s="329"/>
    </row>
    <row r="3008" ht="12.75">
      <c r="W3008" s="329"/>
    </row>
    <row r="3009" ht="12.75">
      <c r="W3009" s="329"/>
    </row>
    <row r="3010" ht="12.75">
      <c r="W3010" s="329"/>
    </row>
    <row r="3011" ht="12.75">
      <c r="W3011" s="329"/>
    </row>
    <row r="3012" ht="12.75">
      <c r="W3012" s="329"/>
    </row>
    <row r="3013" ht="12.75">
      <c r="W3013" s="329"/>
    </row>
    <row r="3014" ht="12.75">
      <c r="W3014" s="329"/>
    </row>
    <row r="3015" ht="12.75">
      <c r="W3015" s="329"/>
    </row>
    <row r="3016" ht="12.75">
      <c r="W3016" s="329"/>
    </row>
    <row r="3017" ht="12.75">
      <c r="W3017" s="329"/>
    </row>
    <row r="3018" ht="12.75">
      <c r="W3018" s="329"/>
    </row>
    <row r="3019" ht="12.75">
      <c r="W3019" s="329"/>
    </row>
    <row r="3020" ht="12.75">
      <c r="W3020" s="329"/>
    </row>
    <row r="3021" ht="12.75">
      <c r="W3021" s="329"/>
    </row>
    <row r="3022" ht="12.75">
      <c r="W3022" s="329"/>
    </row>
    <row r="3023" ht="12.75">
      <c r="W3023" s="329"/>
    </row>
    <row r="3024" ht="12.75">
      <c r="W3024" s="329"/>
    </row>
    <row r="3025" ht="12.75">
      <c r="W3025" s="329"/>
    </row>
    <row r="3026" ht="12.75">
      <c r="W3026" s="329"/>
    </row>
    <row r="3027" ht="12.75">
      <c r="W3027" s="329"/>
    </row>
    <row r="3028" ht="12.75">
      <c r="W3028" s="329"/>
    </row>
    <row r="3029" ht="12.75">
      <c r="W3029" s="329"/>
    </row>
    <row r="3030" ht="12.75">
      <c r="W3030" s="329"/>
    </row>
    <row r="3031" ht="12.75">
      <c r="W3031" s="329"/>
    </row>
    <row r="3032" ht="12.75">
      <c r="W3032" s="329"/>
    </row>
    <row r="3033" ht="12.75">
      <c r="W3033" s="329"/>
    </row>
    <row r="3034" ht="12.75">
      <c r="W3034" s="329"/>
    </row>
    <row r="3035" ht="12.75">
      <c r="W3035" s="329"/>
    </row>
    <row r="3036" ht="12.75">
      <c r="W3036" s="329"/>
    </row>
    <row r="3037" ht="12.75">
      <c r="W3037" s="329"/>
    </row>
    <row r="3038" ht="12.75">
      <c r="W3038" s="329"/>
    </row>
    <row r="3039" ht="12.75">
      <c r="W3039" s="329"/>
    </row>
    <row r="3040" ht="12.75">
      <c r="W3040" s="329"/>
    </row>
    <row r="3041" ht="12.75">
      <c r="W3041" s="329"/>
    </row>
    <row r="3042" ht="12.75">
      <c r="W3042" s="329"/>
    </row>
    <row r="3043" ht="12.75">
      <c r="W3043" s="329"/>
    </row>
    <row r="3044" ht="12.75">
      <c r="W3044" s="329"/>
    </row>
    <row r="3045" ht="12.75">
      <c r="W3045" s="329"/>
    </row>
    <row r="3046" ht="12.75">
      <c r="W3046" s="329"/>
    </row>
    <row r="3047" ht="12.75">
      <c r="W3047" s="329"/>
    </row>
    <row r="3048" ht="12.75">
      <c r="W3048" s="329"/>
    </row>
    <row r="3049" ht="12.75">
      <c r="W3049" s="329"/>
    </row>
    <row r="3050" ht="12.75">
      <c r="W3050" s="329"/>
    </row>
    <row r="3051" ht="12.75">
      <c r="W3051" s="329"/>
    </row>
    <row r="3052" ht="12.75">
      <c r="W3052" s="329"/>
    </row>
    <row r="3053" ht="12.75">
      <c r="W3053" s="329"/>
    </row>
    <row r="3054" ht="12.75">
      <c r="W3054" s="329"/>
    </row>
    <row r="3055" ht="12.75">
      <c r="W3055" s="329"/>
    </row>
    <row r="3056" ht="12.75">
      <c r="W3056" s="329"/>
    </row>
    <row r="3057" ht="12.75">
      <c r="W3057" s="329"/>
    </row>
    <row r="3058" ht="12.75">
      <c r="W3058" s="329"/>
    </row>
    <row r="3059" ht="12.75">
      <c r="W3059" s="329"/>
    </row>
    <row r="3060" ht="12.75">
      <c r="W3060" s="329"/>
    </row>
    <row r="3061" ht="12.75">
      <c r="W3061" s="329"/>
    </row>
    <row r="3062" ht="12.75">
      <c r="W3062" s="329"/>
    </row>
    <row r="3063" ht="12.75">
      <c r="W3063" s="329"/>
    </row>
    <row r="3064" ht="12.75">
      <c r="W3064" s="329"/>
    </row>
    <row r="3065" ht="12.75">
      <c r="W3065" s="329"/>
    </row>
    <row r="3066" ht="12.75">
      <c r="W3066" s="329"/>
    </row>
    <row r="3067" ht="12.75">
      <c r="W3067" s="329"/>
    </row>
    <row r="3068" ht="12.75">
      <c r="W3068" s="329"/>
    </row>
    <row r="3069" ht="12.75">
      <c r="W3069" s="329"/>
    </row>
    <row r="3070" ht="12.75">
      <c r="W3070" s="329"/>
    </row>
    <row r="3071" ht="12.75">
      <c r="W3071" s="329"/>
    </row>
    <row r="3072" ht="12.75">
      <c r="W3072" s="329"/>
    </row>
    <row r="3073" ht="12.75">
      <c r="W3073" s="329"/>
    </row>
    <row r="3074" ht="12.75">
      <c r="W3074" s="329"/>
    </row>
    <row r="3075" ht="12.75">
      <c r="W3075" s="329"/>
    </row>
    <row r="3076" ht="12.75">
      <c r="W3076" s="329"/>
    </row>
    <row r="3077" ht="12.75">
      <c r="W3077" s="329"/>
    </row>
    <row r="3078" ht="12.75">
      <c r="W3078" s="329"/>
    </row>
    <row r="3079" ht="12.75">
      <c r="W3079" s="329"/>
    </row>
    <row r="3080" ht="12.75">
      <c r="W3080" s="329"/>
    </row>
    <row r="3081" ht="12.75">
      <c r="W3081" s="329"/>
    </row>
    <row r="3082" ht="12.75">
      <c r="W3082" s="329"/>
    </row>
    <row r="3083" ht="12.75">
      <c r="W3083" s="329"/>
    </row>
    <row r="3084" ht="12.75">
      <c r="W3084" s="329"/>
    </row>
    <row r="3085" ht="12.75">
      <c r="W3085" s="329"/>
    </row>
    <row r="3086" ht="12.75">
      <c r="W3086" s="329"/>
    </row>
    <row r="3087" ht="12.75">
      <c r="W3087" s="329"/>
    </row>
    <row r="3088" ht="12.75">
      <c r="W3088" s="329"/>
    </row>
    <row r="3089" ht="12.75">
      <c r="W3089" s="329"/>
    </row>
    <row r="3090" ht="12.75">
      <c r="W3090" s="329"/>
    </row>
    <row r="3091" ht="12.75">
      <c r="W3091" s="329"/>
    </row>
    <row r="3092" ht="12.75">
      <c r="W3092" s="329"/>
    </row>
    <row r="3093" ht="12.75">
      <c r="W3093" s="329"/>
    </row>
    <row r="3094" ht="12.75">
      <c r="W3094" s="329"/>
    </row>
    <row r="3095" ht="12.75">
      <c r="W3095" s="329"/>
    </row>
    <row r="3096" ht="12.75">
      <c r="W3096" s="329"/>
    </row>
    <row r="3097" ht="12.75">
      <c r="W3097" s="329"/>
    </row>
    <row r="3098" ht="12.75">
      <c r="W3098" s="329"/>
    </row>
    <row r="3099" ht="12.75">
      <c r="W3099" s="329"/>
    </row>
    <row r="3100" ht="12.75">
      <c r="W3100" s="329"/>
    </row>
    <row r="3101" ht="12.75">
      <c r="W3101" s="329"/>
    </row>
    <row r="3102" ht="12.75">
      <c r="W3102" s="329"/>
    </row>
    <row r="3103" ht="12.75">
      <c r="W3103" s="329"/>
    </row>
    <row r="3104" ht="12.75">
      <c r="W3104" s="329"/>
    </row>
    <row r="3105" ht="12.75">
      <c r="W3105" s="329"/>
    </row>
    <row r="3106" ht="12.75">
      <c r="W3106" s="329"/>
    </row>
    <row r="3107" ht="12.75">
      <c r="W3107" s="329"/>
    </row>
    <row r="3108" ht="12.75">
      <c r="W3108" s="329"/>
    </row>
    <row r="3109" ht="12.75">
      <c r="W3109" s="329"/>
    </row>
    <row r="3110" ht="12.75">
      <c r="W3110" s="329"/>
    </row>
    <row r="3111" ht="12.75">
      <c r="W3111" s="329"/>
    </row>
    <row r="3112" ht="12.75">
      <c r="W3112" s="329"/>
    </row>
    <row r="3113" ht="12.75">
      <c r="W3113" s="329"/>
    </row>
    <row r="3114" ht="12.75">
      <c r="W3114" s="329"/>
    </row>
    <row r="3115" ht="12.75">
      <c r="W3115" s="329"/>
    </row>
    <row r="3116" ht="12.75">
      <c r="W3116" s="329"/>
    </row>
    <row r="3117" ht="12.75">
      <c r="W3117" s="329"/>
    </row>
    <row r="3118" ht="12.75">
      <c r="W3118" s="329"/>
    </row>
    <row r="3119" ht="12.75">
      <c r="W3119" s="329"/>
    </row>
    <row r="3120" ht="12.75">
      <c r="W3120" s="329"/>
    </row>
    <row r="3121" ht="12.75">
      <c r="W3121" s="329"/>
    </row>
    <row r="3122" ht="12.75">
      <c r="W3122" s="329"/>
    </row>
    <row r="3123" ht="12.75">
      <c r="W3123" s="329"/>
    </row>
    <row r="3124" ht="12.75">
      <c r="W3124" s="329"/>
    </row>
    <row r="3125" ht="12.75">
      <c r="W3125" s="329"/>
    </row>
    <row r="3126" ht="12.75">
      <c r="W3126" s="329"/>
    </row>
    <row r="3127" ht="12.75">
      <c r="W3127" s="329"/>
    </row>
    <row r="3128" ht="12.75">
      <c r="W3128" s="329"/>
    </row>
    <row r="3129" ht="12.75">
      <c r="W3129" s="329"/>
    </row>
    <row r="3130" ht="12.75">
      <c r="W3130" s="329"/>
    </row>
    <row r="3131" ht="12.75">
      <c r="W3131" s="329"/>
    </row>
    <row r="3132" ht="12.75">
      <c r="W3132" s="329"/>
    </row>
    <row r="3133" ht="12.75">
      <c r="W3133" s="329"/>
    </row>
    <row r="3134" ht="12.75">
      <c r="W3134" s="329"/>
    </row>
    <row r="3135" ht="12.75">
      <c r="W3135" s="329"/>
    </row>
    <row r="3136" ht="12.75">
      <c r="W3136" s="329"/>
    </row>
    <row r="3137" ht="12.75">
      <c r="W3137" s="329"/>
    </row>
    <row r="3138" ht="12.75">
      <c r="W3138" s="329"/>
    </row>
    <row r="3139" ht="12.75">
      <c r="W3139" s="329"/>
    </row>
    <row r="3140" ht="12.75">
      <c r="W3140" s="329"/>
    </row>
    <row r="3141" ht="12.75">
      <c r="W3141" s="329"/>
    </row>
    <row r="3142" ht="12.75">
      <c r="W3142" s="329"/>
    </row>
    <row r="3143" ht="12.75">
      <c r="W3143" s="329"/>
    </row>
    <row r="3144" ht="12.75">
      <c r="W3144" s="329"/>
    </row>
    <row r="3145" ht="12.75">
      <c r="W3145" s="329"/>
    </row>
    <row r="3146" ht="12.75">
      <c r="W3146" s="329"/>
    </row>
    <row r="3147" ht="12.75">
      <c r="W3147" s="329"/>
    </row>
    <row r="3148" ht="12.75">
      <c r="W3148" s="329"/>
    </row>
    <row r="3149" ht="12.75">
      <c r="W3149" s="329"/>
    </row>
    <row r="3150" ht="12.75">
      <c r="W3150" s="329"/>
    </row>
    <row r="3151" ht="12.75">
      <c r="W3151" s="329"/>
    </row>
    <row r="3152" ht="12.75">
      <c r="W3152" s="329"/>
    </row>
    <row r="3153" ht="12.75">
      <c r="W3153" s="329"/>
    </row>
    <row r="3154" ht="12.75">
      <c r="W3154" s="329"/>
    </row>
    <row r="3155" ht="12.75">
      <c r="W3155" s="329"/>
    </row>
    <row r="3156" ht="12.75">
      <c r="W3156" s="329"/>
    </row>
    <row r="3157" ht="12.75">
      <c r="W3157" s="329"/>
    </row>
    <row r="3158" ht="12.75">
      <c r="W3158" s="329"/>
    </row>
    <row r="3159" ht="12.75">
      <c r="W3159" s="329"/>
    </row>
    <row r="3160" ht="12.75">
      <c r="W3160" s="329"/>
    </row>
    <row r="3161" ht="12.75">
      <c r="W3161" s="329"/>
    </row>
    <row r="3162" ht="12.75">
      <c r="W3162" s="329"/>
    </row>
    <row r="3163" ht="12.75">
      <c r="W3163" s="329"/>
    </row>
    <row r="3164" ht="12.75">
      <c r="W3164" s="329"/>
    </row>
    <row r="3165" ht="12.75">
      <c r="W3165" s="329"/>
    </row>
    <row r="3166" ht="12.75">
      <c r="W3166" s="329"/>
    </row>
    <row r="3167" ht="12.75">
      <c r="W3167" s="329"/>
    </row>
    <row r="3168" ht="12.75">
      <c r="W3168" s="329"/>
    </row>
    <row r="3169" ht="12.75">
      <c r="W3169" s="329"/>
    </row>
    <row r="3170" ht="12.75">
      <c r="W3170" s="329"/>
    </row>
    <row r="3171" ht="12.75">
      <c r="W3171" s="329"/>
    </row>
    <row r="3172" ht="12.75">
      <c r="W3172" s="329"/>
    </row>
    <row r="3173" ht="12.75">
      <c r="W3173" s="329"/>
    </row>
    <row r="3174" ht="12.75">
      <c r="W3174" s="329"/>
    </row>
    <row r="3175" ht="12.75">
      <c r="W3175" s="329"/>
    </row>
    <row r="3176" ht="12.75">
      <c r="W3176" s="329"/>
    </row>
    <row r="3177" ht="12.75">
      <c r="W3177" s="329"/>
    </row>
    <row r="3178" ht="12.75">
      <c r="W3178" s="329"/>
    </row>
    <row r="3179" ht="12.75">
      <c r="W3179" s="329"/>
    </row>
    <row r="3180" ht="12.75">
      <c r="W3180" s="329"/>
    </row>
    <row r="3181" ht="12.75">
      <c r="W3181" s="329"/>
    </row>
    <row r="3182" ht="12.75">
      <c r="W3182" s="329"/>
    </row>
    <row r="3183" ht="12.75">
      <c r="W3183" s="329"/>
    </row>
    <row r="3184" ht="12.75">
      <c r="W3184" s="329"/>
    </row>
    <row r="3185" ht="12.75">
      <c r="W3185" s="329"/>
    </row>
    <row r="3186" ht="12.75">
      <c r="W3186" s="329"/>
    </row>
    <row r="3187" ht="12.75">
      <c r="W3187" s="329"/>
    </row>
    <row r="3188" ht="12.75">
      <c r="W3188" s="329"/>
    </row>
    <row r="3189" ht="12.75">
      <c r="W3189" s="329"/>
    </row>
    <row r="3190" ht="12.75">
      <c r="W3190" s="329"/>
    </row>
    <row r="3191" ht="12.75">
      <c r="W3191" s="329"/>
    </row>
    <row r="3192" ht="12.75">
      <c r="W3192" s="329"/>
    </row>
    <row r="3193" ht="12.75">
      <c r="W3193" s="329"/>
    </row>
    <row r="3194" ht="12.75">
      <c r="W3194" s="329"/>
    </row>
    <row r="3195" ht="12.75">
      <c r="W3195" s="329"/>
    </row>
    <row r="3196" ht="12.75">
      <c r="W3196" s="329"/>
    </row>
    <row r="3197" ht="12.75">
      <c r="W3197" s="329"/>
    </row>
    <row r="3198" ht="12.75">
      <c r="W3198" s="329"/>
    </row>
    <row r="3199" ht="12.75">
      <c r="W3199" s="329"/>
    </row>
    <row r="3200" ht="12.75">
      <c r="W3200" s="329"/>
    </row>
    <row r="3201" ht="12.75">
      <c r="W3201" s="329"/>
    </row>
    <row r="3202" ht="12.75">
      <c r="W3202" s="329"/>
    </row>
    <row r="3203" ht="12.75">
      <c r="W3203" s="329"/>
    </row>
    <row r="3204" ht="12.75">
      <c r="W3204" s="329"/>
    </row>
    <row r="3205" ht="12.75">
      <c r="W3205" s="329"/>
    </row>
    <row r="3206" ht="12.75">
      <c r="W3206" s="329"/>
    </row>
    <row r="3207" ht="12.75">
      <c r="W3207" s="329"/>
    </row>
    <row r="3208" ht="12.75">
      <c r="W3208" s="329"/>
    </row>
    <row r="3209" ht="12.75">
      <c r="W3209" s="329"/>
    </row>
    <row r="3210" ht="12.75">
      <c r="W3210" s="329"/>
    </row>
    <row r="3211" ht="12.75">
      <c r="W3211" s="329"/>
    </row>
    <row r="3212" ht="12.75">
      <c r="W3212" s="329"/>
    </row>
    <row r="3213" ht="12.75">
      <c r="W3213" s="329"/>
    </row>
    <row r="3214" ht="12.75">
      <c r="W3214" s="329"/>
    </row>
    <row r="3215" ht="12.75">
      <c r="W3215" s="329"/>
    </row>
    <row r="3216" ht="12.75">
      <c r="W3216" s="329"/>
    </row>
    <row r="3217" ht="12.75">
      <c r="W3217" s="329"/>
    </row>
    <row r="3218" ht="12.75">
      <c r="W3218" s="329"/>
    </row>
    <row r="3219" ht="12.75">
      <c r="W3219" s="329"/>
    </row>
    <row r="3220" ht="12.75">
      <c r="W3220" s="329"/>
    </row>
    <row r="3221" ht="12.75">
      <c r="W3221" s="329"/>
    </row>
    <row r="3222" ht="12.75">
      <c r="W3222" s="329"/>
    </row>
    <row r="3223" ht="12.75">
      <c r="W3223" s="329"/>
    </row>
    <row r="3224" ht="12.75">
      <c r="W3224" s="329"/>
    </row>
    <row r="3225" ht="12.75">
      <c r="W3225" s="329"/>
    </row>
    <row r="3226" ht="12.75">
      <c r="W3226" s="329"/>
    </row>
    <row r="3227" ht="12.75">
      <c r="W3227" s="329"/>
    </row>
    <row r="3228" ht="12.75">
      <c r="W3228" s="329"/>
    </row>
    <row r="3229" ht="12.75">
      <c r="W3229" s="329"/>
    </row>
    <row r="3230" ht="12.75">
      <c r="W3230" s="329"/>
    </row>
    <row r="3231" ht="12.75">
      <c r="W3231" s="329"/>
    </row>
    <row r="3232" ht="12.75">
      <c r="W3232" s="329"/>
    </row>
    <row r="3233" ht="12.75">
      <c r="W3233" s="329"/>
    </row>
    <row r="3234" ht="12.75">
      <c r="W3234" s="329"/>
    </row>
    <row r="3235" ht="12.75">
      <c r="W3235" s="329"/>
    </row>
    <row r="3236" ht="12.75">
      <c r="W3236" s="329"/>
    </row>
    <row r="3237" ht="12.75">
      <c r="W3237" s="329"/>
    </row>
    <row r="3238" ht="12.75">
      <c r="W3238" s="329"/>
    </row>
    <row r="3239" ht="12.75">
      <c r="W3239" s="329"/>
    </row>
    <row r="3240" ht="12.75">
      <c r="W3240" s="329"/>
    </row>
    <row r="3241" ht="12.75">
      <c r="W3241" s="329"/>
    </row>
    <row r="3242" ht="12.75">
      <c r="W3242" s="329"/>
    </row>
    <row r="3243" ht="12.75">
      <c r="W3243" s="329"/>
    </row>
    <row r="3244" ht="12.75">
      <c r="W3244" s="329"/>
    </row>
    <row r="3245" ht="12.75">
      <c r="W3245" s="329"/>
    </row>
    <row r="3246" ht="12.75">
      <c r="W3246" s="329"/>
    </row>
    <row r="3247" ht="12.75">
      <c r="W3247" s="329"/>
    </row>
    <row r="3248" ht="12.75">
      <c r="W3248" s="329"/>
    </row>
    <row r="3249" ht="12.75">
      <c r="W3249" s="329"/>
    </row>
    <row r="3250" ht="12.75">
      <c r="W3250" s="329"/>
    </row>
    <row r="3251" ht="12.75">
      <c r="W3251" s="329"/>
    </row>
    <row r="3252" ht="12.75">
      <c r="W3252" s="329"/>
    </row>
    <row r="3253" ht="12.75">
      <c r="W3253" s="329"/>
    </row>
    <row r="3254" ht="12.75">
      <c r="W3254" s="329"/>
    </row>
    <row r="3255" ht="12.75">
      <c r="W3255" s="329"/>
    </row>
    <row r="3256" ht="12.75">
      <c r="W3256" s="329"/>
    </row>
    <row r="3257" ht="12.75">
      <c r="W3257" s="329"/>
    </row>
    <row r="3258" ht="12.75">
      <c r="W3258" s="329"/>
    </row>
    <row r="3259" ht="12.75">
      <c r="W3259" s="329"/>
    </row>
    <row r="3260" ht="12.75">
      <c r="W3260" s="329"/>
    </row>
    <row r="3261" ht="12.75">
      <c r="W3261" s="329"/>
    </row>
    <row r="3262" ht="12.75">
      <c r="W3262" s="329"/>
    </row>
    <row r="3263" ht="12.75">
      <c r="W3263" s="329"/>
    </row>
    <row r="3264" ht="12.75">
      <c r="W3264" s="329"/>
    </row>
    <row r="3265" ht="12.75">
      <c r="W3265" s="329"/>
    </row>
    <row r="3266" ht="12.75">
      <c r="W3266" s="329"/>
    </row>
    <row r="3267" ht="12.75">
      <c r="W3267" s="329"/>
    </row>
    <row r="3268" ht="12.75">
      <c r="W3268" s="329"/>
    </row>
    <row r="3269" ht="12.75">
      <c r="W3269" s="329"/>
    </row>
    <row r="3270" ht="12.75">
      <c r="W3270" s="329"/>
    </row>
    <row r="3271" ht="12.75">
      <c r="W3271" s="329"/>
    </row>
    <row r="3272" ht="12.75">
      <c r="W3272" s="329"/>
    </row>
    <row r="3273" ht="12.75">
      <c r="W3273" s="329"/>
    </row>
    <row r="3274" ht="12.75">
      <c r="W3274" s="329"/>
    </row>
    <row r="3275" ht="12.75">
      <c r="W3275" s="329"/>
    </row>
    <row r="3276" ht="12.75">
      <c r="W3276" s="329"/>
    </row>
    <row r="3277" ht="12.75">
      <c r="W3277" s="329"/>
    </row>
    <row r="3278" ht="12.75">
      <c r="W3278" s="329"/>
    </row>
    <row r="3279" ht="12.75">
      <c r="W3279" s="329"/>
    </row>
    <row r="3280" ht="12.75">
      <c r="W3280" s="329"/>
    </row>
    <row r="3281" ht="12.75">
      <c r="W3281" s="329"/>
    </row>
    <row r="3282" ht="12.75">
      <c r="W3282" s="329"/>
    </row>
    <row r="3283" ht="12.75">
      <c r="W3283" s="329"/>
    </row>
    <row r="3284" ht="12.75">
      <c r="W3284" s="329"/>
    </row>
    <row r="3285" ht="12.75">
      <c r="W3285" s="329"/>
    </row>
    <row r="3286" ht="12.75">
      <c r="W3286" s="329"/>
    </row>
    <row r="3287" ht="12.75">
      <c r="W3287" s="329"/>
    </row>
    <row r="3288" ht="12.75">
      <c r="W3288" s="329"/>
    </row>
    <row r="3289" ht="12.75">
      <c r="W3289" s="329"/>
    </row>
    <row r="3290" ht="12.75">
      <c r="W3290" s="329"/>
    </row>
    <row r="3291" ht="12.75">
      <c r="W3291" s="329"/>
    </row>
    <row r="3292" ht="12.75">
      <c r="W3292" s="329"/>
    </row>
    <row r="3293" ht="12.75">
      <c r="W3293" s="329"/>
    </row>
    <row r="3294" ht="12.75">
      <c r="W3294" s="329"/>
    </row>
    <row r="3295" ht="12.75">
      <c r="W3295" s="329"/>
    </row>
    <row r="3296" ht="12.75">
      <c r="W3296" s="329"/>
    </row>
    <row r="3297" ht="12.75">
      <c r="W3297" s="329"/>
    </row>
    <row r="3298" ht="12.75">
      <c r="W3298" s="329"/>
    </row>
    <row r="3299" ht="12.75">
      <c r="W3299" s="329"/>
    </row>
    <row r="3300" ht="12.75">
      <c r="W3300" s="329"/>
    </row>
    <row r="3301" ht="12.75">
      <c r="W3301" s="329"/>
    </row>
    <row r="3302" ht="12.75">
      <c r="W3302" s="329"/>
    </row>
    <row r="3303" ht="12.75">
      <c r="W3303" s="329"/>
    </row>
    <row r="3304" ht="12.75">
      <c r="W3304" s="329"/>
    </row>
    <row r="3305" ht="12.75">
      <c r="W3305" s="329"/>
    </row>
    <row r="3306" ht="12.75">
      <c r="W3306" s="329"/>
    </row>
    <row r="3307" ht="12.75">
      <c r="W3307" s="329"/>
    </row>
    <row r="3308" ht="12.75">
      <c r="W3308" s="329"/>
    </row>
    <row r="3309" ht="12.75">
      <c r="W3309" s="329"/>
    </row>
    <row r="3310" ht="12.75">
      <c r="W3310" s="329"/>
    </row>
    <row r="3311" ht="12.75">
      <c r="W3311" s="329"/>
    </row>
    <row r="3312" ht="12.75">
      <c r="W3312" s="329"/>
    </row>
    <row r="3313" ht="12.75">
      <c r="W3313" s="329"/>
    </row>
    <row r="3314" ht="12.75">
      <c r="W3314" s="329"/>
    </row>
    <row r="3315" ht="12.75">
      <c r="W3315" s="329"/>
    </row>
    <row r="3316" ht="12.75">
      <c r="W3316" s="329"/>
    </row>
    <row r="3317" ht="12.75">
      <c r="W3317" s="329"/>
    </row>
    <row r="3318" ht="12.75">
      <c r="W3318" s="329"/>
    </row>
    <row r="3319" ht="12.75">
      <c r="W3319" s="329"/>
    </row>
    <row r="3320" ht="12.75">
      <c r="W3320" s="329"/>
    </row>
    <row r="3321" ht="12.75">
      <c r="W3321" s="329"/>
    </row>
    <row r="3322" ht="12.75">
      <c r="W3322" s="329"/>
    </row>
    <row r="3323" ht="12.75">
      <c r="W3323" s="329"/>
    </row>
    <row r="3324" ht="12.75">
      <c r="W3324" s="329"/>
    </row>
    <row r="3325" ht="12.75">
      <c r="W3325" s="329"/>
    </row>
    <row r="3326" ht="12.75">
      <c r="W3326" s="329"/>
    </row>
    <row r="3327" ht="12.75">
      <c r="W3327" s="329"/>
    </row>
    <row r="3328" ht="12.75">
      <c r="W3328" s="329"/>
    </row>
    <row r="3329" ht="12.75">
      <c r="W3329" s="329"/>
    </row>
    <row r="3330" ht="12.75">
      <c r="W3330" s="329"/>
    </row>
    <row r="3331" ht="12.75">
      <c r="W3331" s="329"/>
    </row>
    <row r="3332" ht="12.75">
      <c r="W3332" s="329"/>
    </row>
    <row r="3333" ht="12.75">
      <c r="W3333" s="329"/>
    </row>
    <row r="3334" ht="12.75">
      <c r="W3334" s="329"/>
    </row>
    <row r="3335" ht="12.75">
      <c r="W3335" s="329"/>
    </row>
    <row r="3336" ht="12.75">
      <c r="W3336" s="329"/>
    </row>
    <row r="3337" ht="12.75">
      <c r="W3337" s="329"/>
    </row>
    <row r="3338" ht="12.75">
      <c r="W3338" s="329"/>
    </row>
    <row r="3339" ht="12.75">
      <c r="W3339" s="329"/>
    </row>
    <row r="3340" ht="12.75">
      <c r="W3340" s="329"/>
    </row>
    <row r="3341" ht="12.75">
      <c r="W3341" s="329"/>
    </row>
    <row r="3342" ht="12.75">
      <c r="W3342" s="329"/>
    </row>
    <row r="3343" ht="12.75">
      <c r="W3343" s="329"/>
    </row>
    <row r="3344" ht="12.75">
      <c r="W3344" s="329"/>
    </row>
    <row r="3345" ht="12.75">
      <c r="W3345" s="329"/>
    </row>
    <row r="3346" ht="12.75">
      <c r="W3346" s="329"/>
    </row>
    <row r="3347" ht="12.75">
      <c r="W3347" s="329"/>
    </row>
    <row r="3348" ht="12.75">
      <c r="W3348" s="329"/>
    </row>
    <row r="3349" ht="12.75">
      <c r="W3349" s="329"/>
    </row>
    <row r="3350" ht="12.75">
      <c r="W3350" s="329"/>
    </row>
    <row r="3351" ht="12.75">
      <c r="W3351" s="329"/>
    </row>
    <row r="3352" ht="12.75">
      <c r="W3352" s="329"/>
    </row>
    <row r="3353" ht="12.75">
      <c r="W3353" s="329"/>
    </row>
    <row r="3354" ht="12.75">
      <c r="W3354" s="329"/>
    </row>
    <row r="3355" ht="12.75">
      <c r="W3355" s="329"/>
    </row>
    <row r="3356" ht="12.75">
      <c r="W3356" s="329"/>
    </row>
    <row r="3357" ht="12.75">
      <c r="W3357" s="329"/>
    </row>
    <row r="3358" ht="12.75">
      <c r="W3358" s="329"/>
    </row>
    <row r="3359" ht="12.75">
      <c r="W3359" s="329"/>
    </row>
    <row r="3360" ht="12.75">
      <c r="W3360" s="329"/>
    </row>
    <row r="3361" ht="12.75">
      <c r="W3361" s="329"/>
    </row>
    <row r="3362" ht="12.75">
      <c r="W3362" s="329"/>
    </row>
    <row r="3363" ht="12.75">
      <c r="W3363" s="329"/>
    </row>
    <row r="3364" ht="12.75">
      <c r="W3364" s="329"/>
    </row>
    <row r="3365" ht="12.75">
      <c r="W3365" s="329"/>
    </row>
    <row r="3366" ht="12.75">
      <c r="W3366" s="329"/>
    </row>
    <row r="3367" ht="12.75">
      <c r="W3367" s="329"/>
    </row>
    <row r="3368" ht="12.75">
      <c r="W3368" s="329"/>
    </row>
    <row r="3369" ht="12.75">
      <c r="W3369" s="329"/>
    </row>
    <row r="3370" ht="12.75">
      <c r="W3370" s="329"/>
    </row>
    <row r="3371" ht="12.75">
      <c r="W3371" s="329"/>
    </row>
    <row r="3372" ht="12.75">
      <c r="W3372" s="329"/>
    </row>
    <row r="3373" ht="12.75">
      <c r="W3373" s="329"/>
    </row>
    <row r="3374" ht="12.75">
      <c r="W3374" s="329"/>
    </row>
    <row r="3375" ht="12.75">
      <c r="W3375" s="329"/>
    </row>
    <row r="3376" ht="12.75">
      <c r="W3376" s="329"/>
    </row>
    <row r="3377" ht="12.75">
      <c r="W3377" s="329"/>
    </row>
    <row r="3378" ht="12.75">
      <c r="W3378" s="329"/>
    </row>
    <row r="3379" ht="12.75">
      <c r="W3379" s="329"/>
    </row>
    <row r="3380" ht="12.75">
      <c r="W3380" s="329"/>
    </row>
    <row r="3381" ht="12.75">
      <c r="W3381" s="329"/>
    </row>
    <row r="3382" ht="12.75">
      <c r="W3382" s="329"/>
    </row>
    <row r="3383" ht="12.75">
      <c r="W3383" s="329"/>
    </row>
    <row r="3384" ht="12.75">
      <c r="W3384" s="329"/>
    </row>
    <row r="3385" ht="12.75">
      <c r="W3385" s="329"/>
    </row>
    <row r="3386" ht="12.75">
      <c r="W3386" s="329"/>
    </row>
    <row r="3387" ht="12.75">
      <c r="W3387" s="329"/>
    </row>
    <row r="3388" ht="12.75">
      <c r="W3388" s="329"/>
    </row>
    <row r="3389" ht="12.75">
      <c r="W3389" s="329"/>
    </row>
    <row r="3390" ht="12.75">
      <c r="W3390" s="329"/>
    </row>
    <row r="3391" ht="12.75">
      <c r="W3391" s="329"/>
    </row>
    <row r="3392" ht="12.75">
      <c r="W3392" s="329"/>
    </row>
    <row r="3393" ht="12.75">
      <c r="W3393" s="329"/>
    </row>
    <row r="3394" ht="12.75">
      <c r="W3394" s="329"/>
    </row>
    <row r="3395" ht="12.75">
      <c r="W3395" s="329"/>
    </row>
    <row r="3396" ht="12.75">
      <c r="W3396" s="329"/>
    </row>
    <row r="3397" ht="12.75">
      <c r="W3397" s="329"/>
    </row>
    <row r="3398" ht="12.75">
      <c r="W3398" s="329"/>
    </row>
    <row r="3399" ht="12.75">
      <c r="W3399" s="329"/>
    </row>
    <row r="3400" ht="12.75">
      <c r="W3400" s="329"/>
    </row>
    <row r="3401" ht="12.75">
      <c r="W3401" s="329"/>
    </row>
    <row r="3402" ht="12.75">
      <c r="W3402" s="329"/>
    </row>
    <row r="3403" ht="12.75">
      <c r="W3403" s="329"/>
    </row>
    <row r="3404" ht="12.75">
      <c r="W3404" s="329"/>
    </row>
    <row r="3405" ht="12.75">
      <c r="W3405" s="329"/>
    </row>
    <row r="3406" ht="12.75">
      <c r="W3406" s="329"/>
    </row>
    <row r="3407" ht="12.75">
      <c r="W3407" s="329"/>
    </row>
    <row r="3408" ht="12.75">
      <c r="W3408" s="329"/>
    </row>
    <row r="3409" ht="12.75">
      <c r="W3409" s="329"/>
    </row>
    <row r="3410" ht="12.75">
      <c r="W3410" s="329"/>
    </row>
    <row r="3411" ht="12.75">
      <c r="W3411" s="329"/>
    </row>
    <row r="3412" ht="12.75">
      <c r="W3412" s="329"/>
    </row>
    <row r="3413" ht="12.75">
      <c r="W3413" s="329"/>
    </row>
    <row r="3414" ht="12.75">
      <c r="W3414" s="329"/>
    </row>
    <row r="3415" ht="12.75">
      <c r="W3415" s="329"/>
    </row>
    <row r="3416" ht="12.75">
      <c r="W3416" s="329"/>
    </row>
    <row r="3417" ht="12.75">
      <c r="W3417" s="329"/>
    </row>
    <row r="3418" ht="12.75">
      <c r="W3418" s="329"/>
    </row>
    <row r="3419" ht="12.75">
      <c r="W3419" s="329"/>
    </row>
    <row r="3420" ht="12.75">
      <c r="W3420" s="329"/>
    </row>
    <row r="3421" ht="12.75">
      <c r="W3421" s="329"/>
    </row>
    <row r="3422" ht="12.75">
      <c r="W3422" s="329"/>
    </row>
    <row r="3423" ht="12.75">
      <c r="W3423" s="329"/>
    </row>
    <row r="3424" ht="12.75">
      <c r="W3424" s="329"/>
    </row>
    <row r="3425" ht="12.75">
      <c r="W3425" s="329"/>
    </row>
    <row r="3426" ht="12.75">
      <c r="W3426" s="329"/>
    </row>
    <row r="3427" ht="12.75">
      <c r="W3427" s="329"/>
    </row>
    <row r="3428" ht="12.75">
      <c r="W3428" s="329"/>
    </row>
    <row r="3429" ht="12.75">
      <c r="W3429" s="329"/>
    </row>
    <row r="3430" ht="12.75">
      <c r="W3430" s="329"/>
    </row>
    <row r="3431" ht="12.75">
      <c r="W3431" s="329"/>
    </row>
    <row r="3432" ht="12.75">
      <c r="W3432" s="329"/>
    </row>
    <row r="3433" ht="12.75">
      <c r="W3433" s="329"/>
    </row>
    <row r="3434" ht="12.75">
      <c r="W3434" s="329"/>
    </row>
    <row r="3435" ht="12.75">
      <c r="W3435" s="329"/>
    </row>
    <row r="3436" ht="12.75">
      <c r="W3436" s="329"/>
    </row>
    <row r="3437" ht="12.75">
      <c r="W3437" s="329"/>
    </row>
    <row r="3438" ht="12.75">
      <c r="W3438" s="329"/>
    </row>
    <row r="3439" ht="12.75">
      <c r="W3439" s="329"/>
    </row>
    <row r="3440" ht="12.75">
      <c r="W3440" s="329"/>
    </row>
    <row r="3441" ht="12.75">
      <c r="W3441" s="329"/>
    </row>
    <row r="3442" ht="12.75">
      <c r="W3442" s="329"/>
    </row>
    <row r="3443" ht="12.75">
      <c r="W3443" s="329"/>
    </row>
    <row r="3444" ht="12.75">
      <c r="W3444" s="329"/>
    </row>
    <row r="3445" ht="12.75">
      <c r="W3445" s="329"/>
    </row>
    <row r="3446" ht="12.75">
      <c r="W3446" s="329"/>
    </row>
    <row r="3447" ht="12.75">
      <c r="W3447" s="329"/>
    </row>
    <row r="3448" ht="12.75">
      <c r="W3448" s="329"/>
    </row>
    <row r="3449" ht="12.75">
      <c r="W3449" s="329"/>
    </row>
    <row r="3450" ht="12.75">
      <c r="W3450" s="329"/>
    </row>
    <row r="3451" ht="12.75">
      <c r="W3451" s="329"/>
    </row>
    <row r="3452" ht="12.75">
      <c r="W3452" s="329"/>
    </row>
    <row r="3453" ht="12.75">
      <c r="W3453" s="329"/>
    </row>
    <row r="3454" ht="12.75">
      <c r="W3454" s="329"/>
    </row>
    <row r="3455" ht="12.75">
      <c r="W3455" s="329"/>
    </row>
    <row r="3456" ht="12.75">
      <c r="W3456" s="329"/>
    </row>
    <row r="3457" ht="12.75">
      <c r="W3457" s="329"/>
    </row>
    <row r="3458" ht="12.75">
      <c r="W3458" s="329"/>
    </row>
    <row r="3459" ht="12.75">
      <c r="W3459" s="329"/>
    </row>
    <row r="3460" ht="12.75">
      <c r="W3460" s="329"/>
    </row>
    <row r="3461" ht="12.75">
      <c r="W3461" s="329"/>
    </row>
    <row r="3462" ht="12.75">
      <c r="W3462" s="329"/>
    </row>
    <row r="3463" ht="12.75">
      <c r="W3463" s="329"/>
    </row>
    <row r="3464" ht="12.75">
      <c r="W3464" s="329"/>
    </row>
    <row r="3465" ht="12.75">
      <c r="W3465" s="329"/>
    </row>
    <row r="3466" ht="12.75">
      <c r="W3466" s="329"/>
    </row>
    <row r="3467" ht="12.75">
      <c r="W3467" s="329"/>
    </row>
    <row r="3468" ht="12.75">
      <c r="W3468" s="329"/>
    </row>
    <row r="3469" ht="12.75">
      <c r="W3469" s="329"/>
    </row>
    <row r="3470" ht="12.75">
      <c r="W3470" s="329"/>
    </row>
    <row r="3471" ht="12.75">
      <c r="W3471" s="329"/>
    </row>
    <row r="3472" ht="12.75">
      <c r="W3472" s="329"/>
    </row>
    <row r="3473" ht="12.75">
      <c r="W3473" s="329"/>
    </row>
    <row r="3474" ht="12.75">
      <c r="W3474" s="329"/>
    </row>
    <row r="3475" ht="12.75">
      <c r="W3475" s="329"/>
    </row>
    <row r="3476" ht="12.75">
      <c r="W3476" s="329"/>
    </row>
    <row r="3477" ht="12.75">
      <c r="W3477" s="329"/>
    </row>
    <row r="3478" ht="12.75">
      <c r="W3478" s="329"/>
    </row>
    <row r="3479" ht="12.75">
      <c r="W3479" s="329"/>
    </row>
    <row r="3480" ht="12.75">
      <c r="W3480" s="329"/>
    </row>
    <row r="3481" ht="12.75">
      <c r="W3481" s="329"/>
    </row>
    <row r="3482" ht="12.75">
      <c r="W3482" s="329"/>
    </row>
    <row r="3483" ht="12.75">
      <c r="W3483" s="329"/>
    </row>
    <row r="3484" ht="12.75">
      <c r="W3484" s="329"/>
    </row>
    <row r="3485" ht="12.75">
      <c r="W3485" s="329"/>
    </row>
    <row r="3486" ht="12.75">
      <c r="W3486" s="329"/>
    </row>
    <row r="3487" ht="12.75">
      <c r="W3487" s="329"/>
    </row>
    <row r="3488" ht="12.75">
      <c r="W3488" s="329"/>
    </row>
    <row r="3489" ht="12.75">
      <c r="W3489" s="329"/>
    </row>
    <row r="3490" ht="12.75">
      <c r="W3490" s="329"/>
    </row>
    <row r="3491" ht="12.75">
      <c r="W3491" s="329"/>
    </row>
    <row r="3492" ht="12.75">
      <c r="W3492" s="329"/>
    </row>
    <row r="3493" ht="12.75">
      <c r="W3493" s="329"/>
    </row>
    <row r="3494" ht="12.75">
      <c r="W3494" s="329"/>
    </row>
    <row r="3495" ht="12.75">
      <c r="W3495" s="329"/>
    </row>
    <row r="3496" ht="12.75">
      <c r="W3496" s="329"/>
    </row>
    <row r="3497" ht="12.75">
      <c r="W3497" s="329"/>
    </row>
    <row r="3498" ht="12.75">
      <c r="W3498" s="329"/>
    </row>
    <row r="3499" ht="12.75">
      <c r="W3499" s="329"/>
    </row>
    <row r="3500" ht="12.75">
      <c r="W3500" s="329"/>
    </row>
    <row r="3501" ht="12.75">
      <c r="W3501" s="329"/>
    </row>
    <row r="3502" ht="12.75">
      <c r="W3502" s="329"/>
    </row>
    <row r="3503" ht="12.75">
      <c r="W3503" s="329"/>
    </row>
    <row r="3504" ht="12.75">
      <c r="W3504" s="329"/>
    </row>
    <row r="3505" ht="12.75">
      <c r="W3505" s="329"/>
    </row>
    <row r="3506" ht="12.75">
      <c r="W3506" s="329"/>
    </row>
    <row r="3507" ht="12.75">
      <c r="W3507" s="329"/>
    </row>
    <row r="3508" ht="12.75">
      <c r="W3508" s="329"/>
    </row>
    <row r="3509" ht="12.75">
      <c r="W3509" s="329"/>
    </row>
    <row r="3510" ht="12.75">
      <c r="W3510" s="329"/>
    </row>
    <row r="3511" ht="12.75">
      <c r="W3511" s="329"/>
    </row>
    <row r="3512" ht="12.75">
      <c r="W3512" s="329"/>
    </row>
    <row r="3513" ht="12.75">
      <c r="W3513" s="329"/>
    </row>
    <row r="3514" ht="12.75">
      <c r="W3514" s="329"/>
    </row>
    <row r="3515" ht="12.75">
      <c r="W3515" s="329"/>
    </row>
    <row r="3516" ht="12.75">
      <c r="W3516" s="329"/>
    </row>
    <row r="3517" ht="12.75">
      <c r="W3517" s="329"/>
    </row>
    <row r="3518" ht="12.75">
      <c r="W3518" s="329"/>
    </row>
    <row r="3519" ht="12.75">
      <c r="W3519" s="329"/>
    </row>
    <row r="3520" ht="12.75">
      <c r="W3520" s="329"/>
    </row>
    <row r="3521" ht="12.75">
      <c r="W3521" s="329"/>
    </row>
    <row r="3522" ht="12.75">
      <c r="W3522" s="329"/>
    </row>
    <row r="3523" ht="12.75">
      <c r="W3523" s="329"/>
    </row>
    <row r="3524" ht="12.75">
      <c r="W3524" s="329"/>
    </row>
    <row r="3525" ht="12.75">
      <c r="W3525" s="329"/>
    </row>
    <row r="3526" ht="12.75">
      <c r="W3526" s="329"/>
    </row>
    <row r="3527" ht="12.75">
      <c r="W3527" s="329"/>
    </row>
    <row r="3528" ht="12.75">
      <c r="W3528" s="329"/>
    </row>
    <row r="3529" ht="12.75">
      <c r="W3529" s="329"/>
    </row>
    <row r="3530" ht="12.75">
      <c r="W3530" s="329"/>
    </row>
    <row r="3531" ht="12.75">
      <c r="W3531" s="329"/>
    </row>
    <row r="3532" ht="12.75">
      <c r="W3532" s="329"/>
    </row>
    <row r="3533" ht="12.75">
      <c r="W3533" s="329"/>
    </row>
    <row r="3534" ht="12.75">
      <c r="W3534" s="329"/>
    </row>
    <row r="3535" ht="12.75">
      <c r="W3535" s="329"/>
    </row>
    <row r="3536" ht="12.75">
      <c r="W3536" s="329"/>
    </row>
    <row r="3537" ht="12.75">
      <c r="W3537" s="329"/>
    </row>
    <row r="3538" ht="12.75">
      <c r="W3538" s="329"/>
    </row>
    <row r="3539" ht="12.75">
      <c r="W3539" s="329"/>
    </row>
    <row r="3540" ht="12.75">
      <c r="W3540" s="329"/>
    </row>
    <row r="3541" ht="12.75">
      <c r="W3541" s="329"/>
    </row>
    <row r="3542" ht="12.75">
      <c r="W3542" s="329"/>
    </row>
    <row r="3543" ht="12.75">
      <c r="W3543" s="329"/>
    </row>
    <row r="3544" ht="12.75">
      <c r="W3544" s="329"/>
    </row>
    <row r="3545" ht="12.75">
      <c r="W3545" s="329"/>
    </row>
    <row r="3546" ht="12.75">
      <c r="W3546" s="329"/>
    </row>
    <row r="3547" ht="12.75">
      <c r="W3547" s="329"/>
    </row>
    <row r="3548" ht="12.75">
      <c r="W3548" s="329"/>
    </row>
    <row r="3549" ht="12.75">
      <c r="W3549" s="329"/>
    </row>
    <row r="3550" ht="12.75">
      <c r="W3550" s="329"/>
    </row>
    <row r="3551" ht="12.75">
      <c r="W3551" s="329"/>
    </row>
    <row r="3552" ht="12.75">
      <c r="W3552" s="329"/>
    </row>
    <row r="3553" ht="12.75">
      <c r="W3553" s="329"/>
    </row>
    <row r="3554" ht="12.75">
      <c r="W3554" s="329"/>
    </row>
    <row r="3555" ht="12.75">
      <c r="W3555" s="329"/>
    </row>
    <row r="3556" ht="12.75">
      <c r="W3556" s="329"/>
    </row>
    <row r="3557" ht="12.75">
      <c r="W3557" s="329"/>
    </row>
    <row r="3558" ht="12.75">
      <c r="W3558" s="329"/>
    </row>
    <row r="3559" ht="12.75">
      <c r="W3559" s="329"/>
    </row>
    <row r="3560" ht="12.75">
      <c r="W3560" s="329"/>
    </row>
    <row r="3561" ht="12.75">
      <c r="W3561" s="329"/>
    </row>
    <row r="3562" ht="12.75">
      <c r="W3562" s="329"/>
    </row>
    <row r="3563" ht="12.75">
      <c r="W3563" s="329"/>
    </row>
    <row r="3564" ht="12.75">
      <c r="W3564" s="329"/>
    </row>
    <row r="3565" ht="12.75">
      <c r="W3565" s="329"/>
    </row>
    <row r="3566" ht="12.75">
      <c r="W3566" s="329"/>
    </row>
    <row r="3567" ht="12.75">
      <c r="W3567" s="329"/>
    </row>
    <row r="3568" ht="12.75">
      <c r="W3568" s="329"/>
    </row>
    <row r="3569" ht="12.75">
      <c r="W3569" s="329"/>
    </row>
    <row r="3570" ht="12.75">
      <c r="W3570" s="329"/>
    </row>
    <row r="3571" ht="12.75">
      <c r="W3571" s="329"/>
    </row>
    <row r="3572" ht="12.75">
      <c r="W3572" s="329"/>
    </row>
    <row r="3573" ht="12.75">
      <c r="W3573" s="329"/>
    </row>
    <row r="3574" ht="12.75">
      <c r="W3574" s="329"/>
    </row>
    <row r="3575" ht="12.75">
      <c r="W3575" s="329"/>
    </row>
    <row r="3576" ht="12.75">
      <c r="W3576" s="329"/>
    </row>
    <row r="3577" ht="12.75">
      <c r="W3577" s="329"/>
    </row>
    <row r="3578" ht="12.75">
      <c r="W3578" s="329"/>
    </row>
    <row r="3579" ht="12.75">
      <c r="W3579" s="329"/>
    </row>
    <row r="3580" ht="12.75">
      <c r="W3580" s="329"/>
    </row>
    <row r="3581" ht="12.75">
      <c r="W3581" s="329"/>
    </row>
    <row r="3582" ht="12.75">
      <c r="W3582" s="329"/>
    </row>
    <row r="3583" ht="12.75">
      <c r="W3583" s="329"/>
    </row>
    <row r="3584" ht="12.75">
      <c r="W3584" s="329"/>
    </row>
    <row r="3585" ht="12.75">
      <c r="W3585" s="329"/>
    </row>
    <row r="3586" ht="12.75">
      <c r="W3586" s="329"/>
    </row>
    <row r="3587" ht="12.75">
      <c r="W3587" s="329"/>
    </row>
    <row r="3588" ht="12.75">
      <c r="W3588" s="329"/>
    </row>
    <row r="3589" ht="12.75">
      <c r="W3589" s="329"/>
    </row>
    <row r="3590" ht="12.75">
      <c r="W3590" s="329"/>
    </row>
    <row r="3591" ht="12.75">
      <c r="W3591" s="329"/>
    </row>
    <row r="3592" ht="12.75">
      <c r="W3592" s="329"/>
    </row>
    <row r="3593" ht="12.75">
      <c r="W3593" s="329"/>
    </row>
    <row r="3594" ht="12.75">
      <c r="W3594" s="329"/>
    </row>
    <row r="3595" ht="12.75">
      <c r="W3595" s="329"/>
    </row>
    <row r="3596" ht="12.75">
      <c r="W3596" s="329"/>
    </row>
    <row r="3597" ht="12.75">
      <c r="W3597" s="329"/>
    </row>
    <row r="3598" ht="12.75">
      <c r="W3598" s="329"/>
    </row>
    <row r="3599" ht="12.75">
      <c r="W3599" s="329"/>
    </row>
    <row r="3600" ht="12.75">
      <c r="W3600" s="329"/>
    </row>
    <row r="3601" ht="12.75">
      <c r="W3601" s="329"/>
    </row>
    <row r="3602" ht="12.75">
      <c r="W3602" s="329"/>
    </row>
    <row r="3603" ht="12.75">
      <c r="W3603" s="329"/>
    </row>
    <row r="3604" ht="12.75">
      <c r="W3604" s="329"/>
    </row>
    <row r="3605" ht="12.75">
      <c r="W3605" s="329"/>
    </row>
    <row r="3606" ht="12.75">
      <c r="W3606" s="329"/>
    </row>
    <row r="3607" ht="12.75">
      <c r="W3607" s="329"/>
    </row>
    <row r="3608" ht="12.75">
      <c r="W3608" s="329"/>
    </row>
    <row r="3609" ht="12.75">
      <c r="W3609" s="329"/>
    </row>
    <row r="3610" ht="12.75">
      <c r="W3610" s="329"/>
    </row>
    <row r="3611" ht="12.75">
      <c r="W3611" s="329"/>
    </row>
    <row r="3612" ht="12.75">
      <c r="W3612" s="329"/>
    </row>
    <row r="3613" ht="12.75">
      <c r="W3613" s="329"/>
    </row>
    <row r="3614" ht="12.75">
      <c r="W3614" s="329"/>
    </row>
    <row r="3615" ht="12.75">
      <c r="W3615" s="329"/>
    </row>
    <row r="3616" ht="12.75">
      <c r="W3616" s="329"/>
    </row>
    <row r="3617" ht="12.75">
      <c r="W3617" s="329"/>
    </row>
    <row r="3618" ht="12.75">
      <c r="W3618" s="329"/>
    </row>
    <row r="3619" ht="12.75">
      <c r="W3619" s="329"/>
    </row>
    <row r="3620" ht="12.75">
      <c r="W3620" s="329"/>
    </row>
    <row r="3621" ht="12.75">
      <c r="W3621" s="329"/>
    </row>
    <row r="3622" ht="12.75">
      <c r="W3622" s="329"/>
    </row>
    <row r="3623" ht="12.75">
      <c r="W3623" s="329"/>
    </row>
    <row r="3624" ht="12.75">
      <c r="W3624" s="329"/>
    </row>
    <row r="3625" ht="12.75">
      <c r="W3625" s="329"/>
    </row>
    <row r="3626" ht="12.75">
      <c r="W3626" s="329"/>
    </row>
    <row r="3627" ht="12.75">
      <c r="W3627" s="329"/>
    </row>
    <row r="3628" ht="12.75">
      <c r="W3628" s="329"/>
    </row>
    <row r="3629" ht="12.75">
      <c r="W3629" s="329"/>
    </row>
    <row r="3630" ht="12.75">
      <c r="W3630" s="329"/>
    </row>
    <row r="3631" ht="12.75">
      <c r="W3631" s="329"/>
    </row>
    <row r="3632" ht="12.75">
      <c r="W3632" s="329"/>
    </row>
    <row r="3633" ht="12.75">
      <c r="W3633" s="329"/>
    </row>
    <row r="3634" ht="12.75">
      <c r="W3634" s="329"/>
    </row>
    <row r="3635" ht="12.75">
      <c r="W3635" s="329"/>
    </row>
    <row r="3636" ht="12.75">
      <c r="W3636" s="329"/>
    </row>
    <row r="3637" ht="12.75">
      <c r="W3637" s="329"/>
    </row>
    <row r="3638" ht="12.75">
      <c r="W3638" s="329"/>
    </row>
    <row r="3639" ht="12.75">
      <c r="W3639" s="329"/>
    </row>
    <row r="3640" ht="12.75">
      <c r="W3640" s="329"/>
    </row>
    <row r="3641" ht="12.75">
      <c r="W3641" s="329"/>
    </row>
    <row r="3642" ht="12.75">
      <c r="W3642" s="329"/>
    </row>
    <row r="3643" ht="12.75">
      <c r="W3643" s="329"/>
    </row>
    <row r="3644" ht="12.75">
      <c r="W3644" s="329"/>
    </row>
    <row r="3645" ht="12.75">
      <c r="W3645" s="329"/>
    </row>
    <row r="3646" ht="12.75">
      <c r="W3646" s="329"/>
    </row>
    <row r="3647" ht="12.75">
      <c r="W3647" s="329"/>
    </row>
    <row r="3648" ht="12.75">
      <c r="W3648" s="329"/>
    </row>
    <row r="3649" ht="12.75">
      <c r="W3649" s="329"/>
    </row>
    <row r="3650" ht="12.75">
      <c r="W3650" s="329"/>
    </row>
    <row r="3651" ht="12.75">
      <c r="W3651" s="329"/>
    </row>
    <row r="3652" ht="12.75">
      <c r="W3652" s="329"/>
    </row>
    <row r="3653" ht="12.75">
      <c r="W3653" s="329"/>
    </row>
    <row r="3654" ht="12.75">
      <c r="W3654" s="329"/>
    </row>
    <row r="3655" ht="12.75">
      <c r="W3655" s="329"/>
    </row>
    <row r="3656" ht="12.75">
      <c r="W3656" s="329"/>
    </row>
    <row r="3657" ht="12.75">
      <c r="W3657" s="329"/>
    </row>
    <row r="3658" ht="12.75">
      <c r="W3658" s="329"/>
    </row>
    <row r="3659" ht="12.75">
      <c r="W3659" s="329"/>
    </row>
    <row r="3660" ht="12.75">
      <c r="W3660" s="329"/>
    </row>
    <row r="3661" ht="12.75">
      <c r="W3661" s="329"/>
    </row>
    <row r="3662" ht="12.75">
      <c r="W3662" s="329"/>
    </row>
    <row r="3663" ht="12.75">
      <c r="W3663" s="329"/>
    </row>
    <row r="3664" ht="12.75">
      <c r="W3664" s="329"/>
    </row>
    <row r="3665" ht="12.75">
      <c r="W3665" s="329"/>
    </row>
    <row r="3666" ht="12.75">
      <c r="W3666" s="329"/>
    </row>
    <row r="3667" ht="12.75">
      <c r="W3667" s="329"/>
    </row>
    <row r="3668" ht="12.75">
      <c r="W3668" s="329"/>
    </row>
    <row r="3669" ht="12.75">
      <c r="W3669" s="329"/>
    </row>
    <row r="3670" ht="12.75">
      <c r="W3670" s="329"/>
    </row>
    <row r="3671" ht="12.75">
      <c r="W3671" s="329"/>
    </row>
    <row r="3672" ht="12.75">
      <c r="W3672" s="329"/>
    </row>
    <row r="3673" ht="12.75">
      <c r="W3673" s="329"/>
    </row>
    <row r="3674" ht="12.75">
      <c r="W3674" s="329"/>
    </row>
    <row r="3675" ht="12.75">
      <c r="W3675" s="329"/>
    </row>
    <row r="3676" ht="12.75">
      <c r="W3676" s="329"/>
    </row>
    <row r="3677" ht="12.75">
      <c r="W3677" s="329"/>
    </row>
    <row r="3678" ht="12.75">
      <c r="W3678" s="329"/>
    </row>
    <row r="3679" ht="12.75">
      <c r="W3679" s="329"/>
    </row>
    <row r="3680" ht="12.75">
      <c r="W3680" s="329"/>
    </row>
    <row r="3681" ht="12.75">
      <c r="W3681" s="329"/>
    </row>
    <row r="3682" ht="12.75">
      <c r="W3682" s="329"/>
    </row>
    <row r="3683" ht="12.75">
      <c r="W3683" s="329"/>
    </row>
    <row r="3684" ht="12.75">
      <c r="W3684" s="329"/>
    </row>
    <row r="3685" ht="12.75">
      <c r="W3685" s="329"/>
    </row>
    <row r="3686" ht="12.75">
      <c r="W3686" s="329"/>
    </row>
    <row r="3687" ht="12.75">
      <c r="W3687" s="329"/>
    </row>
    <row r="3688" ht="12.75">
      <c r="W3688" s="329"/>
    </row>
    <row r="3689" ht="12.75">
      <c r="W3689" s="329"/>
    </row>
    <row r="3690" ht="12.75">
      <c r="W3690" s="329"/>
    </row>
    <row r="3691" ht="12.75">
      <c r="W3691" s="329"/>
    </row>
    <row r="3692" ht="12.75">
      <c r="W3692" s="329"/>
    </row>
    <row r="3693" ht="12.75">
      <c r="W3693" s="329"/>
    </row>
    <row r="3694" ht="12.75">
      <c r="W3694" s="329"/>
    </row>
    <row r="3695" ht="12.75">
      <c r="W3695" s="329"/>
    </row>
    <row r="3696" ht="12.75">
      <c r="W3696" s="329"/>
    </row>
    <row r="3697" ht="12.75">
      <c r="W3697" s="329"/>
    </row>
    <row r="3698" ht="12.75">
      <c r="W3698" s="329"/>
    </row>
    <row r="3699" ht="12.75">
      <c r="W3699" s="329"/>
    </row>
    <row r="3700" ht="12.75">
      <c r="W3700" s="329"/>
    </row>
    <row r="3701" ht="12.75">
      <c r="W3701" s="329"/>
    </row>
    <row r="3702" ht="12.75">
      <c r="W3702" s="329"/>
    </row>
    <row r="3703" ht="12.75">
      <c r="W3703" s="329"/>
    </row>
    <row r="3704" ht="12.75">
      <c r="W3704" s="329"/>
    </row>
    <row r="3705" ht="12.75">
      <c r="W3705" s="329"/>
    </row>
    <row r="3706" ht="12.75">
      <c r="W3706" s="329"/>
    </row>
    <row r="3707" ht="12.75">
      <c r="W3707" s="329"/>
    </row>
    <row r="3708" ht="12.75">
      <c r="W3708" s="329"/>
    </row>
    <row r="3709" ht="12.75">
      <c r="W3709" s="329"/>
    </row>
    <row r="3710" ht="12.75">
      <c r="W3710" s="329"/>
    </row>
    <row r="3711" ht="12.75">
      <c r="W3711" s="329"/>
    </row>
    <row r="3712" ht="12.75">
      <c r="W3712" s="329"/>
    </row>
    <row r="3713" ht="12.75">
      <c r="W3713" s="329"/>
    </row>
    <row r="3714" ht="12.75">
      <c r="W3714" s="329"/>
    </row>
    <row r="3715" ht="12.75">
      <c r="W3715" s="329"/>
    </row>
    <row r="3716" ht="12.75">
      <c r="W3716" s="329"/>
    </row>
    <row r="3717" ht="12.75">
      <c r="W3717" s="329"/>
    </row>
    <row r="3718" ht="12.75">
      <c r="W3718" s="329"/>
    </row>
    <row r="3719" ht="12.75">
      <c r="W3719" s="329"/>
    </row>
    <row r="3720" ht="12.75">
      <c r="W3720" s="329"/>
    </row>
    <row r="3721" ht="12.75">
      <c r="W3721" s="329"/>
    </row>
    <row r="3722" ht="12.75">
      <c r="W3722" s="329"/>
    </row>
    <row r="3723" ht="12.75">
      <c r="W3723" s="329"/>
    </row>
    <row r="3724" ht="12.75">
      <c r="W3724" s="329"/>
    </row>
    <row r="3725" ht="12.75">
      <c r="W3725" s="329"/>
    </row>
    <row r="3726" ht="12.75">
      <c r="W3726" s="329"/>
    </row>
    <row r="3727" ht="12.75">
      <c r="W3727" s="329"/>
    </row>
    <row r="3728" ht="12.75">
      <c r="W3728" s="329"/>
    </row>
    <row r="3729" ht="12.75">
      <c r="W3729" s="329"/>
    </row>
    <row r="3730" ht="12.75">
      <c r="W3730" s="329"/>
    </row>
    <row r="3731" ht="12.75">
      <c r="W3731" s="329"/>
    </row>
    <row r="3732" ht="12.75">
      <c r="W3732" s="329"/>
    </row>
    <row r="3733" ht="12.75">
      <c r="W3733" s="329"/>
    </row>
    <row r="3734" ht="12.75">
      <c r="W3734" s="329"/>
    </row>
    <row r="3735" ht="12.75">
      <c r="W3735" s="329"/>
    </row>
    <row r="3736" ht="12.75">
      <c r="W3736" s="329"/>
    </row>
    <row r="3737" ht="12.75">
      <c r="W3737" s="329"/>
    </row>
    <row r="3738" ht="12.75">
      <c r="W3738" s="329"/>
    </row>
    <row r="3739" ht="12.75">
      <c r="W3739" s="329"/>
    </row>
    <row r="3740" ht="12.75">
      <c r="W3740" s="329"/>
    </row>
    <row r="3741" ht="12.75">
      <c r="W3741" s="329"/>
    </row>
    <row r="3742" ht="12.75">
      <c r="W3742" s="329"/>
    </row>
    <row r="3743" ht="12.75">
      <c r="W3743" s="329"/>
    </row>
    <row r="3744" ht="12.75">
      <c r="W3744" s="329"/>
    </row>
    <row r="3745" ht="12.75">
      <c r="W3745" s="329"/>
    </row>
    <row r="3746" ht="12.75">
      <c r="W3746" s="329"/>
    </row>
    <row r="3747" ht="12.75">
      <c r="W3747" s="329"/>
    </row>
    <row r="3748" ht="12.75">
      <c r="W3748" s="329"/>
    </row>
    <row r="3749" ht="12.75">
      <c r="W3749" s="329"/>
    </row>
    <row r="3750" ht="12.75">
      <c r="W3750" s="329"/>
    </row>
    <row r="3751" ht="12.75">
      <c r="W3751" s="329"/>
    </row>
    <row r="3752" ht="12.75">
      <c r="W3752" s="329"/>
    </row>
    <row r="3753" ht="12.75">
      <c r="W3753" s="329"/>
    </row>
    <row r="3754" ht="12.75">
      <c r="W3754" s="329"/>
    </row>
    <row r="3755" ht="12.75">
      <c r="W3755" s="329"/>
    </row>
    <row r="3756" ht="12.75">
      <c r="W3756" s="329"/>
    </row>
    <row r="3757" ht="12.75">
      <c r="W3757" s="329"/>
    </row>
    <row r="3758" ht="12.75">
      <c r="W3758" s="329"/>
    </row>
    <row r="3759" ht="12.75">
      <c r="W3759" s="329"/>
    </row>
    <row r="3760" ht="12.75">
      <c r="W3760" s="329"/>
    </row>
    <row r="3761" ht="12.75">
      <c r="W3761" s="329"/>
    </row>
    <row r="3762" ht="12.75">
      <c r="W3762" s="329"/>
    </row>
    <row r="3763" ht="12.75">
      <c r="W3763" s="329"/>
    </row>
    <row r="3764" ht="12.75">
      <c r="W3764" s="329"/>
    </row>
    <row r="3765" ht="12.75">
      <c r="W3765" s="329"/>
    </row>
    <row r="3766" ht="12.75">
      <c r="W3766" s="329"/>
    </row>
    <row r="3767" ht="12.75">
      <c r="W3767" s="329"/>
    </row>
    <row r="3768" ht="12.75">
      <c r="W3768" s="329"/>
    </row>
    <row r="3769" ht="12.75">
      <c r="W3769" s="329"/>
    </row>
    <row r="3770" ht="12.75">
      <c r="W3770" s="329"/>
    </row>
    <row r="3771" ht="12.75">
      <c r="W3771" s="329"/>
    </row>
    <row r="3772" ht="12.75">
      <c r="W3772" s="329"/>
    </row>
    <row r="3773" ht="12.75">
      <c r="W3773" s="329"/>
    </row>
    <row r="3774" ht="12.75">
      <c r="W3774" s="329"/>
    </row>
    <row r="3775" ht="12.75">
      <c r="W3775" s="329"/>
    </row>
    <row r="3776" ht="12.75">
      <c r="W3776" s="329"/>
    </row>
    <row r="3777" ht="12.75">
      <c r="W3777" s="329"/>
    </row>
    <row r="3778" ht="12.75">
      <c r="W3778" s="329"/>
    </row>
    <row r="3779" ht="12.75">
      <c r="W3779" s="329"/>
    </row>
    <row r="3780" ht="12.75">
      <c r="W3780" s="329"/>
    </row>
    <row r="3781" ht="12.75">
      <c r="W3781" s="329"/>
    </row>
    <row r="3782" ht="12.75">
      <c r="W3782" s="329"/>
    </row>
    <row r="3783" ht="12.75">
      <c r="W3783" s="329"/>
    </row>
    <row r="3784" ht="12.75">
      <c r="W3784" s="329"/>
    </row>
    <row r="3785" ht="12.75">
      <c r="W3785" s="329"/>
    </row>
    <row r="3786" ht="12.75">
      <c r="W3786" s="329"/>
    </row>
    <row r="3787" ht="12.75">
      <c r="W3787" s="329"/>
    </row>
    <row r="3788" ht="12.75">
      <c r="W3788" s="329"/>
    </row>
    <row r="3789" ht="12.75">
      <c r="W3789" s="329"/>
    </row>
    <row r="3790" ht="12.75">
      <c r="W3790" s="329"/>
    </row>
    <row r="3791" ht="12.75">
      <c r="W3791" s="329"/>
    </row>
    <row r="3792" ht="12.75">
      <c r="W3792" s="329"/>
    </row>
    <row r="3793" ht="12.75">
      <c r="W3793" s="329"/>
    </row>
    <row r="3794" ht="12.75">
      <c r="W3794" s="329"/>
    </row>
    <row r="3795" ht="12.75">
      <c r="W3795" s="329"/>
    </row>
    <row r="3796" ht="12.75">
      <c r="W3796" s="329"/>
    </row>
    <row r="3797" ht="12.75">
      <c r="W3797" s="329"/>
    </row>
    <row r="3798" ht="12.75">
      <c r="W3798" s="329"/>
    </row>
    <row r="3799" ht="12.75">
      <c r="W3799" s="329"/>
    </row>
    <row r="3800" ht="12.75">
      <c r="W3800" s="329"/>
    </row>
    <row r="3801" ht="12.75">
      <c r="W3801" s="329"/>
    </row>
    <row r="3802" ht="12.75">
      <c r="W3802" s="329"/>
    </row>
    <row r="3803" ht="12.75">
      <c r="W3803" s="329"/>
    </row>
    <row r="3804" ht="12.75">
      <c r="W3804" s="329"/>
    </row>
    <row r="3805" ht="12.75">
      <c r="W3805" s="329"/>
    </row>
    <row r="3806" ht="12.75">
      <c r="W3806" s="329"/>
    </row>
    <row r="3807" ht="12.75">
      <c r="W3807" s="329"/>
    </row>
    <row r="3808" ht="12.75">
      <c r="W3808" s="329"/>
    </row>
    <row r="3809" ht="12.75">
      <c r="W3809" s="329"/>
    </row>
    <row r="3810" ht="12.75">
      <c r="W3810" s="329"/>
    </row>
    <row r="3811" ht="12.75">
      <c r="W3811" s="329"/>
    </row>
    <row r="3812" ht="12.75">
      <c r="W3812" s="329"/>
    </row>
    <row r="3813" ht="12.75">
      <c r="W3813" s="329"/>
    </row>
    <row r="3814" ht="12.75">
      <c r="W3814" s="329"/>
    </row>
    <row r="3815" ht="12.75">
      <c r="W3815" s="329"/>
    </row>
    <row r="3816" ht="12.75">
      <c r="W3816" s="329"/>
    </row>
    <row r="3817" ht="12.75">
      <c r="W3817" s="329"/>
    </row>
    <row r="3818" ht="12.75">
      <c r="W3818" s="329"/>
    </row>
    <row r="3819" ht="12.75">
      <c r="W3819" s="329"/>
    </row>
    <row r="3820" ht="12.75">
      <c r="W3820" s="329"/>
    </row>
    <row r="3821" ht="12.75">
      <c r="W3821" s="329"/>
    </row>
    <row r="3822" ht="12.75">
      <c r="W3822" s="329"/>
    </row>
    <row r="3823" ht="12.75">
      <c r="W3823" s="329"/>
    </row>
    <row r="3824" ht="12.75">
      <c r="W3824" s="329"/>
    </row>
    <row r="3825" ht="12.75">
      <c r="W3825" s="329"/>
    </row>
    <row r="3826" ht="12.75">
      <c r="W3826" s="329"/>
    </row>
    <row r="3827" ht="12.75">
      <c r="W3827" s="329"/>
    </row>
    <row r="3828" ht="12.75">
      <c r="W3828" s="329"/>
    </row>
    <row r="3829" ht="12.75">
      <c r="W3829" s="329"/>
    </row>
    <row r="3830" ht="12.75">
      <c r="W3830" s="329"/>
    </row>
    <row r="3831" ht="12.75">
      <c r="W3831" s="329"/>
    </row>
    <row r="3832" ht="12.75">
      <c r="W3832" s="329"/>
    </row>
    <row r="3833" ht="12.75">
      <c r="W3833" s="329"/>
    </row>
    <row r="3834" ht="12.75">
      <c r="W3834" s="329"/>
    </row>
    <row r="3835" ht="12.75">
      <c r="W3835" s="329"/>
    </row>
    <row r="3836" ht="12.75">
      <c r="W3836" s="329"/>
    </row>
    <row r="3837" ht="12.75">
      <c r="W3837" s="329"/>
    </row>
    <row r="3838" ht="12.75">
      <c r="W3838" s="329"/>
    </row>
    <row r="3839" ht="12.75">
      <c r="W3839" s="329"/>
    </row>
    <row r="3840" ht="12.75">
      <c r="W3840" s="329"/>
    </row>
    <row r="3841" ht="12.75">
      <c r="W3841" s="329"/>
    </row>
    <row r="3842" ht="12.75">
      <c r="W3842" s="329"/>
    </row>
    <row r="3843" ht="12.75">
      <c r="W3843" s="329"/>
    </row>
    <row r="3844" ht="12.75">
      <c r="W3844" s="329"/>
    </row>
    <row r="3845" ht="12.75">
      <c r="W3845" s="329"/>
    </row>
    <row r="3846" ht="12.75">
      <c r="W3846" s="329"/>
    </row>
    <row r="3847" ht="12.75">
      <c r="W3847" s="329"/>
    </row>
    <row r="3848" ht="12.75">
      <c r="W3848" s="329"/>
    </row>
    <row r="3849" ht="12.75">
      <c r="W3849" s="329"/>
    </row>
    <row r="3850" ht="12.75">
      <c r="W3850" s="329"/>
    </row>
    <row r="3851" ht="12.75">
      <c r="W3851" s="329"/>
    </row>
    <row r="3852" ht="12.75">
      <c r="W3852" s="329"/>
    </row>
    <row r="3853" ht="12.75">
      <c r="W3853" s="329"/>
    </row>
    <row r="3854" ht="12.75">
      <c r="W3854" s="329"/>
    </row>
    <row r="3855" ht="12.75">
      <c r="W3855" s="329"/>
    </row>
    <row r="3856" ht="12.75">
      <c r="W3856" s="329"/>
    </row>
    <row r="3857" ht="12.75">
      <c r="W3857" s="329"/>
    </row>
    <row r="3858" ht="12.75">
      <c r="W3858" s="329"/>
    </row>
    <row r="3859" ht="12.75">
      <c r="W3859" s="329"/>
    </row>
    <row r="3860" ht="12.75">
      <c r="W3860" s="329"/>
    </row>
    <row r="3861" ht="12.75">
      <c r="W3861" s="329"/>
    </row>
    <row r="3862" ht="12.75">
      <c r="W3862" s="329"/>
    </row>
    <row r="3863" ht="12.75">
      <c r="W3863" s="329"/>
    </row>
    <row r="3864" ht="12.75">
      <c r="W3864" s="329"/>
    </row>
    <row r="3865" ht="12.75">
      <c r="W3865" s="329"/>
    </row>
    <row r="3866" ht="12.75">
      <c r="W3866" s="329"/>
    </row>
    <row r="3867" ht="12.75">
      <c r="W3867" s="329"/>
    </row>
    <row r="3868" ht="12.75">
      <c r="W3868" s="329"/>
    </row>
    <row r="3869" ht="12.75">
      <c r="W3869" s="329"/>
    </row>
    <row r="3870" ht="12.75">
      <c r="W3870" s="329"/>
    </row>
    <row r="3871" ht="12.75">
      <c r="W3871" s="329"/>
    </row>
    <row r="3872" ht="12.75">
      <c r="W3872" s="329"/>
    </row>
    <row r="3873" ht="12.75">
      <c r="W3873" s="329"/>
    </row>
    <row r="3874" ht="12.75">
      <c r="W3874" s="329"/>
    </row>
    <row r="3875" ht="12.75">
      <c r="W3875" s="329"/>
    </row>
    <row r="3876" ht="12.75">
      <c r="W3876" s="329"/>
    </row>
    <row r="3877" ht="12.75">
      <c r="W3877" s="329"/>
    </row>
    <row r="3878" ht="12.75">
      <c r="W3878" s="329"/>
    </row>
    <row r="3879" ht="12.75">
      <c r="W3879" s="329"/>
    </row>
    <row r="3880" ht="12.75">
      <c r="W3880" s="329"/>
    </row>
    <row r="3881" ht="12.75">
      <c r="W3881" s="329"/>
    </row>
    <row r="3882" ht="12.75">
      <c r="W3882" s="329"/>
    </row>
    <row r="3883" ht="12.75">
      <c r="W3883" s="329"/>
    </row>
    <row r="3884" ht="12.75">
      <c r="W3884" s="329"/>
    </row>
    <row r="3885" ht="12.75">
      <c r="W3885" s="329"/>
    </row>
    <row r="3886" ht="12.75">
      <c r="W3886" s="329"/>
    </row>
    <row r="3887" ht="12.75">
      <c r="W3887" s="329"/>
    </row>
    <row r="3888" ht="12.75">
      <c r="W3888" s="329"/>
    </row>
    <row r="3889" ht="12.75">
      <c r="W3889" s="329"/>
    </row>
    <row r="3890" ht="12.75">
      <c r="W3890" s="329"/>
    </row>
    <row r="3891" ht="12.75">
      <c r="W3891" s="329"/>
    </row>
    <row r="3892" ht="12.75">
      <c r="W3892" s="329"/>
    </row>
    <row r="3893" ht="12.75">
      <c r="W3893" s="329"/>
    </row>
    <row r="3894" ht="12.75">
      <c r="W3894" s="329"/>
    </row>
    <row r="3895" ht="12.75">
      <c r="W3895" s="329"/>
    </row>
    <row r="3896" ht="12.75">
      <c r="W3896" s="329"/>
    </row>
    <row r="3897" ht="12.75">
      <c r="W3897" s="329"/>
    </row>
    <row r="3898" ht="12.75">
      <c r="W3898" s="329"/>
    </row>
    <row r="3899" ht="12.75">
      <c r="W3899" s="329"/>
    </row>
    <row r="3900" ht="12.75">
      <c r="W3900" s="329"/>
    </row>
    <row r="3901" ht="12.75">
      <c r="W3901" s="329"/>
    </row>
    <row r="3902" ht="12.75">
      <c r="W3902" s="329"/>
    </row>
    <row r="3903" ht="12.75">
      <c r="W3903" s="329"/>
    </row>
    <row r="3904" ht="12.75">
      <c r="W3904" s="329"/>
    </row>
    <row r="3905" ht="12.75">
      <c r="W3905" s="329"/>
    </row>
    <row r="3906" ht="12.75">
      <c r="W3906" s="329"/>
    </row>
    <row r="3907" ht="12.75">
      <c r="W3907" s="329"/>
    </row>
    <row r="3908" ht="12.75">
      <c r="W3908" s="329"/>
    </row>
    <row r="3909" ht="12.75">
      <c r="W3909" s="329"/>
    </row>
    <row r="3910" ht="12.75">
      <c r="W3910" s="329"/>
    </row>
    <row r="3911" ht="12.75">
      <c r="W3911" s="329"/>
    </row>
    <row r="3912" ht="12.75">
      <c r="W3912" s="329"/>
    </row>
    <row r="3913" ht="12.75">
      <c r="W3913" s="329"/>
    </row>
    <row r="3914" ht="12.75">
      <c r="W3914" s="329"/>
    </row>
    <row r="3915" ht="12.75">
      <c r="W3915" s="329"/>
    </row>
    <row r="3916" ht="12.75">
      <c r="W3916" s="329"/>
    </row>
    <row r="3917" ht="12.75">
      <c r="W3917" s="329"/>
    </row>
    <row r="3918" ht="12.75">
      <c r="W3918" s="329"/>
    </row>
    <row r="3919" ht="12.75">
      <c r="W3919" s="329"/>
    </row>
    <row r="3920" ht="12.75">
      <c r="W3920" s="329"/>
    </row>
    <row r="3921" ht="12.75">
      <c r="W3921" s="329"/>
    </row>
    <row r="3922" ht="12.75">
      <c r="W3922" s="329"/>
    </row>
    <row r="3923" ht="12.75">
      <c r="W3923" s="329"/>
    </row>
    <row r="3924" ht="12.75">
      <c r="W3924" s="329"/>
    </row>
    <row r="3925" ht="12.75">
      <c r="W3925" s="329"/>
    </row>
    <row r="3926" ht="12.75">
      <c r="W3926" s="329"/>
    </row>
    <row r="3927" ht="12.75">
      <c r="W3927" s="329"/>
    </row>
    <row r="3928" ht="12.75">
      <c r="W3928" s="329"/>
    </row>
    <row r="3929" ht="12.75">
      <c r="W3929" s="329"/>
    </row>
    <row r="3930" ht="12.75">
      <c r="W3930" s="329"/>
    </row>
    <row r="3931" ht="12.75">
      <c r="W3931" s="329"/>
    </row>
    <row r="3932" ht="12.75">
      <c r="W3932" s="329"/>
    </row>
    <row r="3933" ht="12.75">
      <c r="W3933" s="329"/>
    </row>
    <row r="3934" ht="12.75">
      <c r="W3934" s="329"/>
    </row>
    <row r="3935" ht="12.75">
      <c r="W3935" s="329"/>
    </row>
    <row r="3936" ht="12.75">
      <c r="W3936" s="329"/>
    </row>
    <row r="3937" ht="12.75">
      <c r="W3937" s="329"/>
    </row>
    <row r="3938" ht="12.75">
      <c r="W3938" s="329"/>
    </row>
    <row r="3939" ht="12.75">
      <c r="W3939" s="329"/>
    </row>
    <row r="3940" ht="12.75">
      <c r="W3940" s="329"/>
    </row>
    <row r="3941" ht="12.75">
      <c r="W3941" s="329"/>
    </row>
    <row r="3942" ht="12.75">
      <c r="W3942" s="329"/>
    </row>
    <row r="3943" ht="12.75">
      <c r="W3943" s="329"/>
    </row>
    <row r="3944" ht="12.75">
      <c r="W3944" s="329"/>
    </row>
    <row r="3945" ht="12.75">
      <c r="W3945" s="329"/>
    </row>
    <row r="3946" ht="12.75">
      <c r="W3946" s="329"/>
    </row>
    <row r="3947" ht="12.75">
      <c r="W3947" s="329"/>
    </row>
    <row r="3948" ht="12.75">
      <c r="W3948" s="329"/>
    </row>
    <row r="3949" ht="12.75">
      <c r="W3949" s="329"/>
    </row>
    <row r="3950" ht="12.75">
      <c r="W3950" s="329"/>
    </row>
    <row r="3951" ht="12.75">
      <c r="W3951" s="329"/>
    </row>
    <row r="3952" ht="12.75">
      <c r="W3952" s="329"/>
    </row>
    <row r="3953" ht="12.75">
      <c r="W3953" s="329"/>
    </row>
    <row r="3954" ht="12.75">
      <c r="W3954" s="329"/>
    </row>
    <row r="3955" ht="12.75">
      <c r="W3955" s="329"/>
    </row>
    <row r="3956" ht="12.75">
      <c r="W3956" s="329"/>
    </row>
    <row r="3957" ht="12.75">
      <c r="W3957" s="329"/>
    </row>
    <row r="3958" ht="12.75">
      <c r="W3958" s="329"/>
    </row>
    <row r="3959" ht="12.75">
      <c r="W3959" s="329"/>
    </row>
    <row r="3960" ht="12.75">
      <c r="W3960" s="329"/>
    </row>
    <row r="3961" ht="12.75">
      <c r="W3961" s="329"/>
    </row>
    <row r="3962" ht="12.75">
      <c r="W3962" s="329"/>
    </row>
    <row r="3963" ht="12.75">
      <c r="W3963" s="329"/>
    </row>
    <row r="3964" ht="12.75">
      <c r="W3964" s="329"/>
    </row>
    <row r="3965" ht="12.75">
      <c r="W3965" s="329"/>
    </row>
    <row r="3966" ht="12.75">
      <c r="W3966" s="329"/>
    </row>
    <row r="3967" ht="12.75">
      <c r="W3967" s="329"/>
    </row>
    <row r="3968" ht="12.75">
      <c r="W3968" s="329"/>
    </row>
    <row r="3969" ht="12.75">
      <c r="W3969" s="329"/>
    </row>
    <row r="3970" ht="12.75">
      <c r="W3970" s="329"/>
    </row>
    <row r="3971" ht="12.75">
      <c r="W3971" s="329"/>
    </row>
    <row r="3972" ht="12.75">
      <c r="W3972" s="329"/>
    </row>
    <row r="3973" ht="12.75">
      <c r="W3973" s="329"/>
    </row>
    <row r="3974" ht="12.75">
      <c r="W3974" s="329"/>
    </row>
    <row r="3975" ht="12.75">
      <c r="W3975" s="329"/>
    </row>
    <row r="3976" ht="12.75">
      <c r="W3976" s="329"/>
    </row>
    <row r="3977" ht="12.75">
      <c r="W3977" s="329"/>
    </row>
    <row r="3978" ht="12.75">
      <c r="W3978" s="329"/>
    </row>
    <row r="3979" ht="12.75">
      <c r="W3979" s="329"/>
    </row>
    <row r="3980" ht="12.75">
      <c r="W3980" s="329"/>
    </row>
    <row r="3981" ht="12.75">
      <c r="W3981" s="329"/>
    </row>
    <row r="3982" ht="12.75">
      <c r="W3982" s="329"/>
    </row>
    <row r="3983" ht="12.75">
      <c r="W3983" s="329"/>
    </row>
    <row r="3984" ht="12.75">
      <c r="W3984" s="329"/>
    </row>
    <row r="3985" ht="12.75">
      <c r="W3985" s="329"/>
    </row>
    <row r="3986" ht="12.75">
      <c r="W3986" s="329"/>
    </row>
    <row r="3987" ht="12.75">
      <c r="W3987" s="329"/>
    </row>
    <row r="3988" ht="12.75">
      <c r="W3988" s="329"/>
    </row>
    <row r="3989" ht="12.75">
      <c r="W3989" s="329"/>
    </row>
    <row r="3990" ht="12.75">
      <c r="W3990" s="329"/>
    </row>
    <row r="3991" ht="12.75">
      <c r="W3991" s="329"/>
    </row>
    <row r="3992" ht="12.75">
      <c r="W3992" s="329"/>
    </row>
    <row r="3993" ht="12.75">
      <c r="W3993" s="329"/>
    </row>
    <row r="3994" ht="12.75">
      <c r="W3994" s="329"/>
    </row>
    <row r="3995" ht="12.75">
      <c r="W3995" s="329"/>
    </row>
    <row r="3996" ht="12.75">
      <c r="W3996" s="329"/>
    </row>
    <row r="3997" ht="12.75">
      <c r="W3997" s="329"/>
    </row>
    <row r="3998" ht="12.75">
      <c r="W3998" s="329"/>
    </row>
    <row r="3999" ht="12.75">
      <c r="W3999" s="329"/>
    </row>
    <row r="4000" ht="12.75">
      <c r="W4000" s="329"/>
    </row>
    <row r="4001" ht="12.75">
      <c r="W4001" s="329"/>
    </row>
    <row r="4002" ht="12.75">
      <c r="W4002" s="329"/>
    </row>
    <row r="4003" ht="12.75">
      <c r="W4003" s="329"/>
    </row>
    <row r="4004" ht="12.75">
      <c r="W4004" s="329"/>
    </row>
    <row r="4005" ht="12.75">
      <c r="W4005" s="329"/>
    </row>
    <row r="4006" ht="12.75">
      <c r="W4006" s="329"/>
    </row>
    <row r="4007" ht="12.75">
      <c r="W4007" s="329"/>
    </row>
    <row r="4008" ht="12.75">
      <c r="W4008" s="329"/>
    </row>
    <row r="4009" ht="12.75">
      <c r="W4009" s="329"/>
    </row>
    <row r="4010" ht="12.75">
      <c r="W4010" s="329"/>
    </row>
    <row r="4011" ht="12.75">
      <c r="W4011" s="329"/>
    </row>
    <row r="4012" ht="12.75">
      <c r="W4012" s="329"/>
    </row>
    <row r="4013" ht="12.75">
      <c r="W4013" s="329"/>
    </row>
    <row r="4014" ht="12.75">
      <c r="W4014" s="329"/>
    </row>
    <row r="4015" ht="12.75">
      <c r="W4015" s="329"/>
    </row>
    <row r="4016" ht="12.75">
      <c r="W4016" s="329"/>
    </row>
    <row r="4017" ht="12.75">
      <c r="W4017" s="329"/>
    </row>
    <row r="4018" ht="12.75">
      <c r="W4018" s="329"/>
    </row>
    <row r="4019" ht="12.75">
      <c r="W4019" s="329"/>
    </row>
    <row r="4020" ht="12.75">
      <c r="W4020" s="329"/>
    </row>
    <row r="4021" ht="12.75">
      <c r="W4021" s="329"/>
    </row>
    <row r="4022" ht="12.75">
      <c r="W4022" s="329"/>
    </row>
    <row r="4023" ht="12.75">
      <c r="W4023" s="329"/>
    </row>
    <row r="4024" ht="12.75">
      <c r="W4024" s="329"/>
    </row>
    <row r="4025" ht="12.75">
      <c r="W4025" s="329"/>
    </row>
    <row r="4026" ht="12.75">
      <c r="W4026" s="329"/>
    </row>
    <row r="4027" ht="12.75">
      <c r="W4027" s="329"/>
    </row>
    <row r="4028" ht="12.75">
      <c r="W4028" s="329"/>
    </row>
    <row r="4029" ht="12.75">
      <c r="W4029" s="329"/>
    </row>
    <row r="4030" ht="12.75">
      <c r="W4030" s="329"/>
    </row>
    <row r="4031" ht="12.75">
      <c r="W4031" s="329"/>
    </row>
    <row r="4032" ht="12.75">
      <c r="W4032" s="329"/>
    </row>
    <row r="4033" ht="12.75">
      <c r="W4033" s="329"/>
    </row>
    <row r="4034" ht="12.75">
      <c r="W4034" s="329"/>
    </row>
    <row r="4035" ht="12.75">
      <c r="W4035" s="329"/>
    </row>
    <row r="4036" ht="12.75">
      <c r="W4036" s="329"/>
    </row>
    <row r="4037" ht="12.75">
      <c r="W4037" s="329"/>
    </row>
    <row r="4038" ht="12.75">
      <c r="W4038" s="329"/>
    </row>
    <row r="4039" ht="12.75">
      <c r="W4039" s="329"/>
    </row>
    <row r="4040" ht="12.75">
      <c r="W4040" s="329"/>
    </row>
    <row r="4041" ht="12.75">
      <c r="W4041" s="329"/>
    </row>
    <row r="4042" ht="12.75">
      <c r="W4042" s="329"/>
    </row>
    <row r="4043" ht="12.75">
      <c r="W4043" s="329"/>
    </row>
    <row r="4044" ht="12.75">
      <c r="W4044" s="329"/>
    </row>
    <row r="4045" ht="12.75">
      <c r="W4045" s="329"/>
    </row>
    <row r="4046" ht="12.75">
      <c r="W4046" s="329"/>
    </row>
    <row r="4047" ht="12.75">
      <c r="W4047" s="329"/>
    </row>
    <row r="4048" ht="12.75">
      <c r="W4048" s="329"/>
    </row>
    <row r="4049" ht="12.75">
      <c r="W4049" s="329"/>
    </row>
    <row r="4050" ht="12.75">
      <c r="W4050" s="329"/>
    </row>
    <row r="4051" ht="12.75">
      <c r="W4051" s="329"/>
    </row>
    <row r="4052" ht="12.75">
      <c r="W4052" s="329"/>
    </row>
    <row r="4053" ht="12.75">
      <c r="W4053" s="329"/>
    </row>
    <row r="4054" ht="12.75">
      <c r="W4054" s="329"/>
    </row>
    <row r="4055" ht="12.75">
      <c r="W4055" s="329"/>
    </row>
    <row r="4056" ht="12.75">
      <c r="W4056" s="329"/>
    </row>
    <row r="4057" ht="12.75">
      <c r="W4057" s="329"/>
    </row>
    <row r="4058" ht="12.75">
      <c r="W4058" s="329"/>
    </row>
    <row r="4059" ht="12.75">
      <c r="W4059" s="329"/>
    </row>
    <row r="4060" ht="12.75">
      <c r="W4060" s="329"/>
    </row>
    <row r="4061" ht="12.75">
      <c r="W4061" s="329"/>
    </row>
    <row r="4062" ht="12.75">
      <c r="W4062" s="329"/>
    </row>
    <row r="4063" ht="12.75">
      <c r="W4063" s="329"/>
    </row>
    <row r="4064" ht="12.75">
      <c r="W4064" s="329"/>
    </row>
    <row r="4065" ht="12.75">
      <c r="W4065" s="329"/>
    </row>
    <row r="4066" ht="12.75">
      <c r="W4066" s="329"/>
    </row>
    <row r="4067" ht="12.75">
      <c r="W4067" s="329"/>
    </row>
    <row r="4068" ht="12.75">
      <c r="W4068" s="329"/>
    </row>
    <row r="4069" ht="12.75">
      <c r="W4069" s="329"/>
    </row>
    <row r="4070" ht="12.75">
      <c r="W4070" s="329"/>
    </row>
    <row r="4071" ht="12.75">
      <c r="W4071" s="329"/>
    </row>
    <row r="4072" ht="12.75">
      <c r="W4072" s="329"/>
    </row>
    <row r="4073" ht="12.75">
      <c r="W4073" s="329"/>
    </row>
    <row r="4074" ht="12.75">
      <c r="W4074" s="329"/>
    </row>
    <row r="4075" ht="12.75">
      <c r="W4075" s="329"/>
    </row>
    <row r="4076" ht="12.75">
      <c r="W4076" s="329"/>
    </row>
    <row r="4077" ht="12.75">
      <c r="W4077" s="329"/>
    </row>
    <row r="4078" ht="12.75">
      <c r="W4078" s="329"/>
    </row>
    <row r="4079" ht="12.75">
      <c r="W4079" s="329"/>
    </row>
    <row r="4080" ht="12.75">
      <c r="W4080" s="329"/>
    </row>
    <row r="4081" ht="12.75">
      <c r="W4081" s="329"/>
    </row>
    <row r="4082" ht="12.75">
      <c r="W4082" s="329"/>
    </row>
    <row r="4083" ht="12.75">
      <c r="W4083" s="329"/>
    </row>
    <row r="4084" ht="12.75">
      <c r="W4084" s="329"/>
    </row>
    <row r="4085" ht="12.75">
      <c r="W4085" s="329"/>
    </row>
    <row r="4086" ht="12.75">
      <c r="W4086" s="329"/>
    </row>
    <row r="4087" ht="12.75">
      <c r="W4087" s="329"/>
    </row>
    <row r="4088" ht="12.75">
      <c r="W4088" s="329"/>
    </row>
    <row r="4089" ht="12.75">
      <c r="W4089" s="329"/>
    </row>
    <row r="4090" ht="12.75">
      <c r="W4090" s="329"/>
    </row>
    <row r="4091" ht="12.75">
      <c r="W4091" s="329"/>
    </row>
    <row r="4092" ht="12.75">
      <c r="W4092" s="329"/>
    </row>
    <row r="4093" ht="12.75">
      <c r="W4093" s="329"/>
    </row>
    <row r="4094" ht="12.75">
      <c r="W4094" s="329"/>
    </row>
    <row r="4095" ht="12.75">
      <c r="W4095" s="329"/>
    </row>
    <row r="4096" ht="12.75">
      <c r="W4096" s="329"/>
    </row>
    <row r="4097" ht="12.75">
      <c r="W4097" s="329"/>
    </row>
    <row r="4098" ht="12.75">
      <c r="W4098" s="329"/>
    </row>
    <row r="4099" ht="12.75">
      <c r="W4099" s="329"/>
    </row>
    <row r="4100" ht="12.75">
      <c r="W4100" s="329"/>
    </row>
    <row r="4101" ht="12.75">
      <c r="W4101" s="329"/>
    </row>
    <row r="4102" ht="12.75">
      <c r="W4102" s="329"/>
    </row>
    <row r="4103" ht="12.75">
      <c r="W4103" s="329"/>
    </row>
    <row r="4104" ht="12.75">
      <c r="W4104" s="329"/>
    </row>
    <row r="4105" ht="12.75">
      <c r="W4105" s="329"/>
    </row>
    <row r="4106" ht="12.75">
      <c r="W4106" s="329"/>
    </row>
    <row r="4107" ht="12.75">
      <c r="W4107" s="329"/>
    </row>
    <row r="4108" ht="12.75">
      <c r="W4108" s="329"/>
    </row>
    <row r="4109" ht="12.75">
      <c r="W4109" s="329"/>
    </row>
    <row r="4110" ht="12.75">
      <c r="W4110" s="329"/>
    </row>
    <row r="4111" ht="12.75">
      <c r="W4111" s="329"/>
    </row>
    <row r="4112" ht="12.75">
      <c r="W4112" s="329"/>
    </row>
    <row r="4113" ht="12.75">
      <c r="W4113" s="329"/>
    </row>
    <row r="4114" ht="12.75">
      <c r="W4114" s="329"/>
    </row>
    <row r="4115" ht="12.75">
      <c r="W4115" s="329"/>
    </row>
    <row r="4116" ht="12.75">
      <c r="W4116" s="329"/>
    </row>
    <row r="4117" ht="12.75">
      <c r="W4117" s="329"/>
    </row>
    <row r="4118" ht="12.75">
      <c r="W4118" s="329"/>
    </row>
    <row r="4119" ht="12.75">
      <c r="W4119" s="329"/>
    </row>
    <row r="4120" ht="12.75">
      <c r="W4120" s="329"/>
    </row>
    <row r="4121" ht="12.75">
      <c r="W4121" s="329"/>
    </row>
    <row r="4122" ht="12.75">
      <c r="W4122" s="329"/>
    </row>
    <row r="4123" ht="12.75">
      <c r="W4123" s="329"/>
    </row>
    <row r="4124" ht="12.75">
      <c r="W4124" s="329"/>
    </row>
    <row r="4125" ht="12.75">
      <c r="W4125" s="329"/>
    </row>
    <row r="4126" ht="12.75">
      <c r="W4126" s="329"/>
    </row>
    <row r="4127" ht="12.75">
      <c r="W4127" s="329"/>
    </row>
    <row r="4128" ht="12.75">
      <c r="W4128" s="329"/>
    </row>
    <row r="4129" ht="12.75">
      <c r="W4129" s="329"/>
    </row>
    <row r="4130" ht="12.75">
      <c r="W4130" s="329"/>
    </row>
    <row r="4131" ht="12.75">
      <c r="W4131" s="329"/>
    </row>
    <row r="4132" ht="12.75">
      <c r="W4132" s="329"/>
    </row>
    <row r="4133" ht="12.75">
      <c r="W4133" s="329"/>
    </row>
    <row r="4134" ht="12.75">
      <c r="W4134" s="329"/>
    </row>
    <row r="4135" ht="12.75">
      <c r="W4135" s="329"/>
    </row>
    <row r="4136" ht="12.75">
      <c r="W4136" s="329"/>
    </row>
    <row r="4137" ht="12.75">
      <c r="W4137" s="329"/>
    </row>
    <row r="4138" ht="12.75">
      <c r="W4138" s="329"/>
    </row>
    <row r="4139" ht="12.75">
      <c r="W4139" s="329"/>
    </row>
    <row r="4140" ht="12.75">
      <c r="W4140" s="329"/>
    </row>
    <row r="4141" ht="12.75">
      <c r="W4141" s="329"/>
    </row>
    <row r="4142" ht="12.75">
      <c r="W4142" s="329"/>
    </row>
    <row r="4143" ht="12.75">
      <c r="W4143" s="329"/>
    </row>
    <row r="4144" ht="12.75">
      <c r="W4144" s="329"/>
    </row>
    <row r="4145" ht="12.75">
      <c r="W4145" s="329"/>
    </row>
    <row r="4146" ht="12.75">
      <c r="W4146" s="329"/>
    </row>
    <row r="4147" ht="12.75">
      <c r="W4147" s="329"/>
    </row>
    <row r="4148" ht="12.75">
      <c r="W4148" s="329"/>
    </row>
    <row r="4149" ht="12.75">
      <c r="W4149" s="329"/>
    </row>
    <row r="4150" ht="12.75">
      <c r="W4150" s="329"/>
    </row>
    <row r="4151" ht="12.75">
      <c r="W4151" s="329"/>
    </row>
    <row r="4152" ht="12.75">
      <c r="W4152" s="329"/>
    </row>
    <row r="4153" ht="12.75">
      <c r="W4153" s="329"/>
    </row>
    <row r="4154" ht="12.75">
      <c r="W4154" s="329"/>
    </row>
    <row r="4155" ht="12.75">
      <c r="W4155" s="329"/>
    </row>
    <row r="4156" ht="12.75">
      <c r="W4156" s="329"/>
    </row>
    <row r="4157" ht="12.75">
      <c r="W4157" s="329"/>
    </row>
    <row r="4158" ht="12.75">
      <c r="W4158" s="329"/>
    </row>
    <row r="4159" ht="12.75">
      <c r="W4159" s="329"/>
    </row>
    <row r="4160" ht="12.75">
      <c r="W4160" s="329"/>
    </row>
    <row r="4161" ht="12.75">
      <c r="W4161" s="329"/>
    </row>
    <row r="4162" ht="12.75">
      <c r="W4162" s="329"/>
    </row>
    <row r="4163" ht="12.75">
      <c r="W4163" s="329"/>
    </row>
    <row r="4164" ht="12.75">
      <c r="W4164" s="329"/>
    </row>
    <row r="4165" ht="12.75">
      <c r="W4165" s="329"/>
    </row>
    <row r="4166" ht="12.75">
      <c r="W4166" s="329"/>
    </row>
    <row r="4167" ht="12.75">
      <c r="W4167" s="329"/>
    </row>
    <row r="4168" ht="12.75">
      <c r="W4168" s="329"/>
    </row>
    <row r="4169" ht="12.75">
      <c r="W4169" s="329"/>
    </row>
    <row r="4170" ht="12.75">
      <c r="W4170" s="329"/>
    </row>
    <row r="4171" ht="12.75">
      <c r="W4171" s="329"/>
    </row>
    <row r="4172" ht="12.75">
      <c r="W4172" s="329"/>
    </row>
    <row r="4173" ht="12.75">
      <c r="W4173" s="329"/>
    </row>
    <row r="4174" ht="12.75">
      <c r="W4174" s="329"/>
    </row>
    <row r="4175" ht="12.75">
      <c r="W4175" s="329"/>
    </row>
    <row r="4176" ht="12.75">
      <c r="W4176" s="329"/>
    </row>
    <row r="4177" ht="12.75">
      <c r="W4177" s="329"/>
    </row>
    <row r="4178" ht="12.75">
      <c r="W4178" s="329"/>
    </row>
    <row r="4179" ht="12.75">
      <c r="W4179" s="329"/>
    </row>
    <row r="4180" ht="12.75">
      <c r="W4180" s="329"/>
    </row>
    <row r="4181" ht="12.75">
      <c r="W4181" s="329"/>
    </row>
    <row r="4182" ht="12.75">
      <c r="W4182" s="329"/>
    </row>
    <row r="4183" ht="12.75">
      <c r="W4183" s="329"/>
    </row>
    <row r="4184" ht="12.75">
      <c r="W4184" s="329"/>
    </row>
    <row r="4185" ht="12.75">
      <c r="W4185" s="329"/>
    </row>
    <row r="4186" ht="12.75">
      <c r="W4186" s="329"/>
    </row>
    <row r="4187" ht="12.75">
      <c r="W4187" s="329"/>
    </row>
    <row r="4188" ht="12.75">
      <c r="W4188" s="329"/>
    </row>
    <row r="4189" ht="12.75">
      <c r="W4189" s="329"/>
    </row>
    <row r="4190" ht="12.75">
      <c r="W4190" s="329"/>
    </row>
    <row r="4191" ht="12.75">
      <c r="W4191" s="329"/>
    </row>
    <row r="4192" ht="12.75">
      <c r="W4192" s="329"/>
    </row>
    <row r="4193" ht="12.75">
      <c r="W4193" s="329"/>
    </row>
    <row r="4194" ht="12.75">
      <c r="W4194" s="329"/>
    </row>
    <row r="4195" ht="12.75">
      <c r="W4195" s="329"/>
    </row>
    <row r="4196" ht="12.75">
      <c r="W4196" s="329"/>
    </row>
    <row r="4197" ht="12.75">
      <c r="W4197" s="329"/>
    </row>
    <row r="4198" ht="12.75">
      <c r="W4198" s="329"/>
    </row>
    <row r="4199" ht="12.75">
      <c r="W4199" s="329"/>
    </row>
    <row r="4200" ht="12.75">
      <c r="W4200" s="329"/>
    </row>
    <row r="4201" ht="12.75">
      <c r="W4201" s="329"/>
    </row>
    <row r="4202" ht="12.75">
      <c r="W4202" s="329"/>
    </row>
    <row r="4203" ht="12.75">
      <c r="W4203" s="329"/>
    </row>
    <row r="4204" ht="12.75">
      <c r="W4204" s="329"/>
    </row>
    <row r="4205" ht="12.75">
      <c r="W4205" s="329"/>
    </row>
    <row r="4206" ht="12.75">
      <c r="W4206" s="329"/>
    </row>
    <row r="4207" ht="12.75">
      <c r="W4207" s="329"/>
    </row>
    <row r="4208" ht="12.75">
      <c r="W4208" s="329"/>
    </row>
    <row r="4209" ht="12.75">
      <c r="W4209" s="329"/>
    </row>
    <row r="4210" ht="12.75">
      <c r="W4210" s="329"/>
    </row>
    <row r="4211" ht="12.75">
      <c r="W4211" s="329"/>
    </row>
    <row r="4212" ht="12.75">
      <c r="W4212" s="329"/>
    </row>
    <row r="4213" ht="12.75">
      <c r="W4213" s="329"/>
    </row>
    <row r="4214" ht="12.75">
      <c r="W4214" s="329"/>
    </row>
    <row r="4215" ht="12.75">
      <c r="W4215" s="329"/>
    </row>
    <row r="4216" ht="12.75">
      <c r="W4216" s="329"/>
    </row>
    <row r="4217" ht="12.75">
      <c r="W4217" s="329"/>
    </row>
    <row r="4218" ht="12.75">
      <c r="W4218" s="329"/>
    </row>
    <row r="4219" ht="12.75">
      <c r="W4219" s="329"/>
    </row>
    <row r="4220" ht="12.75">
      <c r="W4220" s="329"/>
    </row>
    <row r="4221" ht="12.75">
      <c r="W4221" s="329"/>
    </row>
    <row r="4222" ht="12.75">
      <c r="W4222" s="329"/>
    </row>
    <row r="4223" ht="12.75">
      <c r="W4223" s="329"/>
    </row>
    <row r="4224" ht="12.75">
      <c r="W4224" s="329"/>
    </row>
    <row r="4225" ht="12.75">
      <c r="W4225" s="329"/>
    </row>
    <row r="4226" ht="12.75">
      <c r="W4226" s="329"/>
    </row>
    <row r="4227" ht="12.75">
      <c r="W4227" s="329"/>
    </row>
    <row r="4228" ht="12.75">
      <c r="W4228" s="329"/>
    </row>
    <row r="4229" ht="12.75">
      <c r="W4229" s="329"/>
    </row>
    <row r="4230" ht="12.75">
      <c r="W4230" s="329"/>
    </row>
    <row r="4231" ht="12.75">
      <c r="W4231" s="329"/>
    </row>
    <row r="4232" ht="12.75">
      <c r="W4232" s="329"/>
    </row>
    <row r="4233" ht="12.75">
      <c r="W4233" s="329"/>
    </row>
    <row r="4234" ht="12.75">
      <c r="W4234" s="329"/>
    </row>
    <row r="4235" ht="12.75">
      <c r="W4235" s="329"/>
    </row>
    <row r="4236" ht="12.75">
      <c r="W4236" s="329"/>
    </row>
    <row r="4237" ht="12.75">
      <c r="W4237" s="329"/>
    </row>
    <row r="4238" ht="12.75">
      <c r="W4238" s="329"/>
    </row>
    <row r="4239" ht="12.75">
      <c r="W4239" s="329"/>
    </row>
    <row r="4240" ht="12.75">
      <c r="W4240" s="329"/>
    </row>
    <row r="4241" ht="12.75">
      <c r="W4241" s="329"/>
    </row>
    <row r="4242" ht="12.75">
      <c r="W4242" s="329"/>
    </row>
    <row r="4243" ht="12.75">
      <c r="W4243" s="329"/>
    </row>
    <row r="4244" ht="12.75">
      <c r="W4244" s="329"/>
    </row>
    <row r="4245" ht="12.75">
      <c r="W4245" s="329"/>
    </row>
    <row r="4246" ht="12.75">
      <c r="W4246" s="329"/>
    </row>
    <row r="4247" ht="12.75">
      <c r="W4247" s="329"/>
    </row>
    <row r="4248" ht="12.75">
      <c r="W4248" s="329"/>
    </row>
    <row r="4249" ht="12.75">
      <c r="W4249" s="329"/>
    </row>
    <row r="4250" ht="12.75">
      <c r="W4250" s="329"/>
    </row>
    <row r="4251" ht="12.75">
      <c r="W4251" s="329"/>
    </row>
    <row r="4252" ht="12.75">
      <c r="W4252" s="329"/>
    </row>
    <row r="4253" ht="12.75">
      <c r="W4253" s="329"/>
    </row>
    <row r="4254" ht="12.75">
      <c r="W4254" s="329"/>
    </row>
    <row r="4255" ht="12.75">
      <c r="W4255" s="329"/>
    </row>
    <row r="4256" ht="12.75">
      <c r="W4256" s="329"/>
    </row>
    <row r="4257" ht="12.75">
      <c r="W4257" s="329"/>
    </row>
    <row r="4258" ht="12.75">
      <c r="W4258" s="329"/>
    </row>
    <row r="4259" ht="12.75">
      <c r="W4259" s="329"/>
    </row>
    <row r="4260" ht="12.75">
      <c r="W4260" s="329"/>
    </row>
    <row r="4261" ht="12.75">
      <c r="W4261" s="329"/>
    </row>
    <row r="4262" ht="12.75">
      <c r="W4262" s="329"/>
    </row>
    <row r="4263" ht="12.75">
      <c r="W4263" s="329"/>
    </row>
    <row r="4264" ht="12.75">
      <c r="W4264" s="329"/>
    </row>
    <row r="4265" ht="12.75">
      <c r="W4265" s="329"/>
    </row>
    <row r="4266" ht="12.75">
      <c r="W4266" s="329"/>
    </row>
    <row r="4267" ht="12.75">
      <c r="W4267" s="329"/>
    </row>
    <row r="4268" ht="12.75">
      <c r="W4268" s="329"/>
    </row>
    <row r="4269" ht="12.75">
      <c r="W4269" s="329"/>
    </row>
    <row r="4270" ht="12.75">
      <c r="W4270" s="329"/>
    </row>
    <row r="4271" ht="12.75">
      <c r="W4271" s="329"/>
    </row>
    <row r="4272" ht="12.75">
      <c r="W4272" s="329"/>
    </row>
    <row r="4273" ht="12.75">
      <c r="W4273" s="329"/>
    </row>
    <row r="4274" ht="12.75">
      <c r="W4274" s="329"/>
    </row>
    <row r="4275" ht="12.75">
      <c r="W4275" s="329"/>
    </row>
    <row r="4276" ht="12.75">
      <c r="W4276" s="329"/>
    </row>
    <row r="4277" ht="12.75">
      <c r="W4277" s="329"/>
    </row>
    <row r="4278" ht="12.75">
      <c r="W4278" s="329"/>
    </row>
    <row r="4279" ht="12.75">
      <c r="W4279" s="329"/>
    </row>
    <row r="4280" ht="12.75">
      <c r="W4280" s="329"/>
    </row>
    <row r="4281" ht="12.75">
      <c r="W4281" s="329"/>
    </row>
    <row r="4282" ht="12.75">
      <c r="W4282" s="329"/>
    </row>
    <row r="4283" ht="12.75">
      <c r="W4283" s="329"/>
    </row>
    <row r="4284" ht="12.75">
      <c r="W4284" s="329"/>
    </row>
    <row r="4285" ht="12.75">
      <c r="W4285" s="329"/>
    </row>
    <row r="4286" ht="12.75">
      <c r="W4286" s="329"/>
    </row>
    <row r="4287" ht="12.75">
      <c r="W4287" s="329"/>
    </row>
    <row r="4288" ht="12.75">
      <c r="W4288" s="329"/>
    </row>
    <row r="4289" ht="12.75">
      <c r="W4289" s="329"/>
    </row>
    <row r="4290" ht="12.75">
      <c r="W4290" s="329"/>
    </row>
    <row r="4291" ht="12.75">
      <c r="W4291" s="329"/>
    </row>
    <row r="4292" ht="12.75">
      <c r="W4292" s="329"/>
    </row>
    <row r="4293" ht="12.75">
      <c r="W4293" s="329"/>
    </row>
    <row r="4294" ht="12.75">
      <c r="W4294" s="329"/>
    </row>
    <row r="4295" ht="12.75">
      <c r="W4295" s="329"/>
    </row>
    <row r="4296" ht="12.75">
      <c r="W4296" s="329"/>
    </row>
    <row r="4297" ht="12.75">
      <c r="W4297" s="329"/>
    </row>
    <row r="4298" ht="12.75">
      <c r="W4298" s="329"/>
    </row>
    <row r="4299" ht="12.75">
      <c r="W4299" s="329"/>
    </row>
    <row r="4300" ht="12.75">
      <c r="W4300" s="329"/>
    </row>
    <row r="4301" ht="12.75">
      <c r="W4301" s="329"/>
    </row>
    <row r="4302" ht="12.75">
      <c r="W4302" s="329"/>
    </row>
    <row r="4303" ht="12.75">
      <c r="W4303" s="329"/>
    </row>
    <row r="4304" ht="12.75">
      <c r="W4304" s="329"/>
    </row>
    <row r="4305" ht="12.75">
      <c r="W4305" s="329"/>
    </row>
    <row r="4306" ht="12.75">
      <c r="W4306" s="329"/>
    </row>
    <row r="4307" ht="12.75">
      <c r="W4307" s="329"/>
    </row>
    <row r="4308" ht="12.75">
      <c r="W4308" s="329"/>
    </row>
    <row r="4309" ht="12.75">
      <c r="W4309" s="329"/>
    </row>
    <row r="4310" ht="12.75">
      <c r="W4310" s="329"/>
    </row>
    <row r="4311" ht="12.75">
      <c r="W4311" s="329"/>
    </row>
    <row r="4312" ht="12.75">
      <c r="W4312" s="329"/>
    </row>
    <row r="4313" ht="12.75">
      <c r="W4313" s="329"/>
    </row>
    <row r="4314" ht="12.75">
      <c r="W4314" s="329"/>
    </row>
    <row r="4315" ht="12.75">
      <c r="W4315" s="329"/>
    </row>
    <row r="4316" ht="12.75">
      <c r="W4316" s="329"/>
    </row>
    <row r="4317" ht="12.75">
      <c r="W4317" s="329"/>
    </row>
    <row r="4318" ht="12.75">
      <c r="W4318" s="329"/>
    </row>
    <row r="4319" ht="12.75">
      <c r="W4319" s="329"/>
    </row>
    <row r="4320" ht="12.75">
      <c r="W4320" s="329"/>
    </row>
    <row r="4321" ht="12.75">
      <c r="W4321" s="329"/>
    </row>
    <row r="4322" ht="12.75">
      <c r="W4322" s="329"/>
    </row>
    <row r="4323" ht="12.75">
      <c r="W4323" s="329"/>
    </row>
    <row r="4324" ht="12.75">
      <c r="W4324" s="329"/>
    </row>
    <row r="4325" ht="12.75">
      <c r="W4325" s="329"/>
    </row>
    <row r="4326" ht="12.75">
      <c r="W4326" s="329"/>
    </row>
    <row r="4327" ht="12.75">
      <c r="W4327" s="329"/>
    </row>
    <row r="4328" ht="12.75">
      <c r="W4328" s="329"/>
    </row>
    <row r="4329" ht="12.75">
      <c r="W4329" s="329"/>
    </row>
    <row r="4330" ht="12.75">
      <c r="W4330" s="329"/>
    </row>
    <row r="4331" ht="12.75">
      <c r="W4331" s="329"/>
    </row>
    <row r="4332" ht="12.75">
      <c r="W4332" s="329"/>
    </row>
    <row r="4333" ht="12.75">
      <c r="W4333" s="329"/>
    </row>
    <row r="4334" ht="12.75">
      <c r="W4334" s="329"/>
    </row>
    <row r="4335" ht="12.75">
      <c r="W4335" s="329"/>
    </row>
    <row r="4336" ht="12.75">
      <c r="W4336" s="329"/>
    </row>
    <row r="4337" ht="12.75">
      <c r="W4337" s="329"/>
    </row>
    <row r="4338" ht="12.75">
      <c r="W4338" s="329"/>
    </row>
    <row r="4339" ht="12.75">
      <c r="W4339" s="329"/>
    </row>
    <row r="4340" ht="12.75">
      <c r="W4340" s="329"/>
    </row>
    <row r="4341" ht="12.75">
      <c r="W4341" s="329"/>
    </row>
    <row r="4342" ht="12.75">
      <c r="W4342" s="329"/>
    </row>
    <row r="4343" ht="12.75">
      <c r="W4343" s="329"/>
    </row>
    <row r="4344" ht="12.75">
      <c r="W4344" s="329"/>
    </row>
    <row r="4345" ht="12.75">
      <c r="W4345" s="329"/>
    </row>
    <row r="4346" ht="12.75">
      <c r="W4346" s="329"/>
    </row>
    <row r="4347" ht="12.75">
      <c r="W4347" s="329"/>
    </row>
    <row r="4348" ht="12.75">
      <c r="W4348" s="329"/>
    </row>
    <row r="4349" ht="12.75">
      <c r="W4349" s="329"/>
    </row>
    <row r="4350" ht="12.75">
      <c r="W4350" s="329"/>
    </row>
    <row r="4351" ht="12.75">
      <c r="W4351" s="329"/>
    </row>
    <row r="4352" ht="12.75">
      <c r="W4352" s="329"/>
    </row>
    <row r="4353" ht="12.75">
      <c r="W4353" s="329"/>
    </row>
    <row r="4354" ht="12.75">
      <c r="W4354" s="329"/>
    </row>
    <row r="4355" ht="12.75">
      <c r="W4355" s="329"/>
    </row>
    <row r="4356" ht="12.75">
      <c r="W4356" s="329"/>
    </row>
    <row r="4357" ht="12.75">
      <c r="W4357" s="329"/>
    </row>
    <row r="4358" ht="12.75">
      <c r="W4358" s="329"/>
    </row>
    <row r="4359" ht="12.75">
      <c r="W4359" s="329"/>
    </row>
    <row r="4360" ht="12.75">
      <c r="W4360" s="329"/>
    </row>
    <row r="4361" ht="12.75">
      <c r="W4361" s="329"/>
    </row>
    <row r="4362" ht="12.75">
      <c r="W4362" s="329"/>
    </row>
    <row r="4363" ht="12.75">
      <c r="W4363" s="329"/>
    </row>
    <row r="4364" ht="12.75">
      <c r="W4364" s="329"/>
    </row>
    <row r="4365" ht="12.75">
      <c r="W4365" s="329"/>
    </row>
    <row r="4366" ht="12.75">
      <c r="W4366" s="329"/>
    </row>
    <row r="4367" ht="12.75">
      <c r="W4367" s="329"/>
    </row>
    <row r="4368" ht="12.75">
      <c r="W4368" s="329"/>
    </row>
    <row r="4369" ht="12.75">
      <c r="W4369" s="329"/>
    </row>
    <row r="4370" ht="12.75">
      <c r="W4370" s="329"/>
    </row>
    <row r="4371" ht="12.75">
      <c r="W4371" s="329"/>
    </row>
    <row r="4372" ht="12.75">
      <c r="W4372" s="329"/>
    </row>
    <row r="4373" ht="12.75">
      <c r="W4373" s="329"/>
    </row>
    <row r="4374" ht="12.75">
      <c r="W4374" s="329"/>
    </row>
    <row r="4375" ht="12.75">
      <c r="W4375" s="329"/>
    </row>
    <row r="4376" ht="12.75">
      <c r="W4376" s="329"/>
    </row>
    <row r="4377" ht="12.75">
      <c r="W4377" s="329"/>
    </row>
    <row r="4378" ht="12.75">
      <c r="W4378" s="329"/>
    </row>
    <row r="4379" ht="12.75">
      <c r="W4379" s="329"/>
    </row>
    <row r="4380" ht="12.75">
      <c r="W4380" s="329"/>
    </row>
    <row r="4381" ht="12.75">
      <c r="W4381" s="329"/>
    </row>
    <row r="4382" ht="12.75">
      <c r="W4382" s="329"/>
    </row>
    <row r="4383" ht="12.75">
      <c r="W4383" s="329"/>
    </row>
    <row r="4384" ht="12.75">
      <c r="W4384" s="329"/>
    </row>
    <row r="4385" ht="12.75">
      <c r="W4385" s="329"/>
    </row>
    <row r="4386" ht="12.75">
      <c r="W4386" s="329"/>
    </row>
    <row r="4387" ht="12.75">
      <c r="W4387" s="329"/>
    </row>
    <row r="4388" ht="12.75">
      <c r="W4388" s="329"/>
    </row>
    <row r="4389" ht="12.75">
      <c r="W4389" s="329"/>
    </row>
    <row r="4390" ht="12.75">
      <c r="W4390" s="329"/>
    </row>
    <row r="4391" ht="12.75">
      <c r="W4391" s="329"/>
    </row>
    <row r="4392" ht="12.75">
      <c r="W4392" s="329"/>
    </row>
    <row r="4393" ht="12.75">
      <c r="W4393" s="329"/>
    </row>
    <row r="4394" ht="12.75">
      <c r="W4394" s="329"/>
    </row>
    <row r="4395" ht="12.75">
      <c r="W4395" s="329"/>
    </row>
    <row r="4396" ht="12.75">
      <c r="W4396" s="329"/>
    </row>
    <row r="4397" ht="12.75">
      <c r="W4397" s="329"/>
    </row>
    <row r="4398" ht="12.75">
      <c r="W4398" s="329"/>
    </row>
    <row r="4399" ht="12.75">
      <c r="W4399" s="329"/>
    </row>
    <row r="4400" ht="12.75">
      <c r="W4400" s="329"/>
    </row>
    <row r="4401" ht="12.75">
      <c r="W4401" s="329"/>
    </row>
    <row r="4402" ht="12.75">
      <c r="W4402" s="329"/>
    </row>
    <row r="4403" ht="12.75">
      <c r="W4403" s="329"/>
    </row>
    <row r="4404" ht="12.75">
      <c r="W4404" s="329"/>
    </row>
    <row r="4405" ht="12.75">
      <c r="W4405" s="329"/>
    </row>
    <row r="4406" ht="12.75">
      <c r="W4406" s="329"/>
    </row>
    <row r="4407" ht="12.75">
      <c r="W4407" s="329"/>
    </row>
    <row r="4408" ht="12.75">
      <c r="W4408" s="329"/>
    </row>
    <row r="4409" ht="12.75">
      <c r="W4409" s="329"/>
    </row>
    <row r="4410" ht="12.75">
      <c r="W4410" s="329"/>
    </row>
    <row r="4411" ht="12.75">
      <c r="W4411" s="329"/>
    </row>
    <row r="4412" ht="12.75">
      <c r="W4412" s="329"/>
    </row>
    <row r="4413" ht="12.75">
      <c r="W4413" s="329"/>
    </row>
    <row r="4414" ht="12.75">
      <c r="W4414" s="329"/>
    </row>
    <row r="4415" ht="12.75">
      <c r="W4415" s="329"/>
    </row>
    <row r="4416" ht="12.75">
      <c r="W4416" s="329"/>
    </row>
    <row r="4417" ht="12.75">
      <c r="W4417" s="329"/>
    </row>
    <row r="4418" ht="12.75">
      <c r="W4418" s="329"/>
    </row>
    <row r="4419" ht="12.75">
      <c r="W4419" s="329"/>
    </row>
    <row r="4420" ht="12.75">
      <c r="W4420" s="329"/>
    </row>
    <row r="4421" ht="12.75">
      <c r="W4421" s="329"/>
    </row>
    <row r="4422" ht="12.75">
      <c r="W4422" s="329"/>
    </row>
    <row r="4423" ht="12.75">
      <c r="W4423" s="329"/>
    </row>
    <row r="4424" ht="12.75">
      <c r="W4424" s="329"/>
    </row>
    <row r="4425" ht="12.75">
      <c r="W4425" s="329"/>
    </row>
    <row r="4426" ht="12.75">
      <c r="W4426" s="329"/>
    </row>
    <row r="4427" ht="12.75">
      <c r="W4427" s="329"/>
    </row>
    <row r="4428" ht="12.75">
      <c r="W4428" s="329"/>
    </row>
    <row r="4429" ht="12.75">
      <c r="W4429" s="329"/>
    </row>
    <row r="4430" ht="12.75">
      <c r="W4430" s="329"/>
    </row>
    <row r="4431" ht="12.75">
      <c r="W4431" s="329"/>
    </row>
    <row r="4432" ht="12.75">
      <c r="W4432" s="329"/>
    </row>
    <row r="4433" ht="12.75">
      <c r="W4433" s="329"/>
    </row>
    <row r="4434" ht="12.75">
      <c r="W4434" s="329"/>
    </row>
    <row r="4435" ht="12.75">
      <c r="W4435" s="329"/>
    </row>
    <row r="4436" ht="12.75">
      <c r="W4436" s="329"/>
    </row>
    <row r="4437" ht="12.75">
      <c r="W4437" s="329"/>
    </row>
    <row r="4438" ht="12.75">
      <c r="W4438" s="329"/>
    </row>
    <row r="4439" ht="12.75">
      <c r="W4439" s="329"/>
    </row>
    <row r="4440" ht="12.75">
      <c r="W4440" s="329"/>
    </row>
    <row r="4441" ht="12.75">
      <c r="W4441" s="329"/>
    </row>
    <row r="4442" ht="12.75">
      <c r="W4442" s="329"/>
    </row>
    <row r="4443" ht="12.75">
      <c r="W4443" s="329"/>
    </row>
    <row r="4444" ht="12.75">
      <c r="W4444" s="329"/>
    </row>
    <row r="4445" ht="12.75">
      <c r="W4445" s="329"/>
    </row>
    <row r="4446" ht="12.75">
      <c r="W4446" s="329"/>
    </row>
    <row r="4447" ht="12.75">
      <c r="W4447" s="329"/>
    </row>
    <row r="4448" ht="12.75">
      <c r="W4448" s="329"/>
    </row>
    <row r="4449" ht="12.75">
      <c r="W4449" s="329"/>
    </row>
    <row r="4450" ht="12.75">
      <c r="W4450" s="329"/>
    </row>
    <row r="4451" ht="12.75">
      <c r="W4451" s="329"/>
    </row>
    <row r="4452" ht="12.75">
      <c r="W4452" s="329"/>
    </row>
    <row r="4453" ht="12.75">
      <c r="W4453" s="329"/>
    </row>
    <row r="4454" ht="12.75">
      <c r="W4454" s="329"/>
    </row>
    <row r="4455" ht="12.75">
      <c r="W4455" s="329"/>
    </row>
    <row r="4456" ht="12.75">
      <c r="W4456" s="329"/>
    </row>
    <row r="4457" ht="12.75">
      <c r="W4457" s="329"/>
    </row>
    <row r="4458" ht="12.75">
      <c r="W4458" s="329"/>
    </row>
    <row r="4459" ht="12.75">
      <c r="W4459" s="329"/>
    </row>
    <row r="4460" ht="12.75">
      <c r="W4460" s="329"/>
    </row>
    <row r="4461" ht="12.75">
      <c r="W4461" s="329"/>
    </row>
    <row r="4462" ht="12.75">
      <c r="W4462" s="329"/>
    </row>
    <row r="4463" ht="12.75">
      <c r="W4463" s="329"/>
    </row>
    <row r="4464" ht="12.75">
      <c r="W4464" s="329"/>
    </row>
    <row r="4465" ht="12.75">
      <c r="W4465" s="329"/>
    </row>
    <row r="4466" ht="12.75">
      <c r="W4466" s="329"/>
    </row>
    <row r="4467" ht="12.75">
      <c r="W4467" s="329"/>
    </row>
    <row r="4468" ht="12.75">
      <c r="W4468" s="329"/>
    </row>
    <row r="4469" ht="12.75">
      <c r="W4469" s="329"/>
    </row>
    <row r="4470" ht="12.75">
      <c r="W4470" s="329"/>
    </row>
    <row r="4471" ht="12.75">
      <c r="W4471" s="329"/>
    </row>
    <row r="4472" ht="12.75">
      <c r="W4472" s="329"/>
    </row>
    <row r="4473" ht="12.75">
      <c r="W4473" s="329"/>
    </row>
    <row r="4474" ht="12.75">
      <c r="W4474" s="329"/>
    </row>
    <row r="4475" ht="12.75">
      <c r="W4475" s="329"/>
    </row>
    <row r="4476" ht="12.75">
      <c r="W4476" s="329"/>
    </row>
    <row r="4477" ht="12.75">
      <c r="W4477" s="329"/>
    </row>
    <row r="4478" ht="12.75">
      <c r="W4478" s="329"/>
    </row>
    <row r="4479" ht="12.75">
      <c r="W4479" s="329"/>
    </row>
    <row r="4480" ht="12.75">
      <c r="W4480" s="329"/>
    </row>
    <row r="4481" ht="12.75">
      <c r="W4481" s="329"/>
    </row>
    <row r="4482" ht="12.75">
      <c r="W4482" s="329"/>
    </row>
    <row r="4483" ht="12.75">
      <c r="W4483" s="329"/>
    </row>
    <row r="4484" ht="12.75">
      <c r="W4484" s="329"/>
    </row>
    <row r="4485" ht="12.75">
      <c r="W4485" s="329"/>
    </row>
    <row r="4486" ht="12.75">
      <c r="W4486" s="329"/>
    </row>
    <row r="4487" ht="12.75">
      <c r="W4487" s="329"/>
    </row>
    <row r="4488" ht="12.75">
      <c r="W4488" s="329"/>
    </row>
    <row r="4489" ht="12.75">
      <c r="W4489" s="329"/>
    </row>
    <row r="4490" ht="12.75">
      <c r="W4490" s="329"/>
    </row>
    <row r="4491" ht="12.75">
      <c r="W4491" s="329"/>
    </row>
    <row r="4492" ht="12.75">
      <c r="W4492" s="329"/>
    </row>
    <row r="4493" ht="12.75">
      <c r="W4493" s="329"/>
    </row>
    <row r="4494" ht="12.75">
      <c r="W4494" s="329"/>
    </row>
    <row r="4495" ht="12.75">
      <c r="W4495" s="329"/>
    </row>
    <row r="4496" ht="12.75">
      <c r="W4496" s="329"/>
    </row>
    <row r="4497" ht="12.75">
      <c r="W4497" s="329"/>
    </row>
    <row r="4498" ht="12.75">
      <c r="W4498" s="329"/>
    </row>
    <row r="4499" ht="12.75">
      <c r="W4499" s="329"/>
    </row>
    <row r="4500" ht="12.75">
      <c r="W4500" s="329"/>
    </row>
    <row r="4501" ht="12.75">
      <c r="W4501" s="329"/>
    </row>
    <row r="4502" ht="12.75">
      <c r="W4502" s="329"/>
    </row>
    <row r="4503" ht="12.75">
      <c r="W4503" s="329"/>
    </row>
    <row r="4504" ht="12.75">
      <c r="W4504" s="329"/>
    </row>
    <row r="4505" ht="12.75">
      <c r="W4505" s="329"/>
    </row>
    <row r="4506" ht="12.75">
      <c r="W4506" s="329"/>
    </row>
    <row r="4507" ht="12.75">
      <c r="W4507" s="329"/>
    </row>
    <row r="4508" ht="12.75">
      <c r="W4508" s="329"/>
    </row>
    <row r="4509" ht="12.75">
      <c r="W4509" s="329"/>
    </row>
    <row r="4510" ht="12.75">
      <c r="W4510" s="329"/>
    </row>
    <row r="4511" ht="12.75">
      <c r="W4511" s="329"/>
    </row>
    <row r="4512" ht="12.75">
      <c r="W4512" s="329"/>
    </row>
    <row r="4513" ht="12.75">
      <c r="W4513" s="329"/>
    </row>
    <row r="4514" ht="12.75">
      <c r="W4514" s="329"/>
    </row>
    <row r="4515" ht="12.75">
      <c r="W4515" s="329"/>
    </row>
    <row r="4516" ht="12.75">
      <c r="W4516" s="329"/>
    </row>
    <row r="4517" ht="12.75">
      <c r="W4517" s="329"/>
    </row>
    <row r="4518" ht="12.75">
      <c r="W4518" s="329"/>
    </row>
    <row r="4519" ht="12.75">
      <c r="W4519" s="329"/>
    </row>
    <row r="4520" ht="12.75">
      <c r="W4520" s="329"/>
    </row>
    <row r="4521" ht="12.75">
      <c r="W4521" s="329"/>
    </row>
    <row r="4522" ht="12.75">
      <c r="W4522" s="329"/>
    </row>
    <row r="4523" ht="12.75">
      <c r="W4523" s="329"/>
    </row>
    <row r="4524" ht="12.75">
      <c r="W4524" s="329"/>
    </row>
    <row r="4525" ht="12.75">
      <c r="W4525" s="329"/>
    </row>
    <row r="4526" ht="12.75">
      <c r="W4526" s="329"/>
    </row>
    <row r="4527" ht="12.75">
      <c r="W4527" s="329"/>
    </row>
    <row r="4528" ht="12.75">
      <c r="W4528" s="329"/>
    </row>
    <row r="4529" ht="12.75">
      <c r="W4529" s="329"/>
    </row>
    <row r="4530" ht="12.75">
      <c r="W4530" s="329"/>
    </row>
    <row r="4531" ht="12.75">
      <c r="W4531" s="329"/>
    </row>
    <row r="4532" ht="12.75">
      <c r="W4532" s="329"/>
    </row>
    <row r="4533" ht="12.75">
      <c r="W4533" s="329"/>
    </row>
    <row r="4534" ht="12.75">
      <c r="W4534" s="329"/>
    </row>
    <row r="4535" ht="12.75">
      <c r="W4535" s="329"/>
    </row>
    <row r="4536" ht="12.75">
      <c r="W4536" s="329"/>
    </row>
    <row r="4537" ht="12.75">
      <c r="W4537" s="329"/>
    </row>
    <row r="4538" ht="12.75">
      <c r="W4538" s="329"/>
    </row>
    <row r="4539" ht="12.75">
      <c r="W4539" s="329"/>
    </row>
    <row r="4540" ht="12.75">
      <c r="W4540" s="329"/>
    </row>
    <row r="4541" ht="12.75">
      <c r="W4541" s="329"/>
    </row>
    <row r="4542" ht="12.75">
      <c r="W4542" s="329"/>
    </row>
    <row r="4543" ht="12.75">
      <c r="W4543" s="329"/>
    </row>
    <row r="4544" ht="12.75">
      <c r="W4544" s="329"/>
    </row>
    <row r="4545" ht="12.75">
      <c r="W4545" s="329"/>
    </row>
    <row r="4546" ht="12.75">
      <c r="W4546" s="329"/>
    </row>
    <row r="4547" ht="12.75">
      <c r="W4547" s="329"/>
    </row>
    <row r="4548" ht="12.75">
      <c r="W4548" s="329"/>
    </row>
    <row r="4549" ht="12.75">
      <c r="W4549" s="329"/>
    </row>
    <row r="4550" ht="12.75">
      <c r="W4550" s="329"/>
    </row>
    <row r="4551" ht="12.75">
      <c r="W4551" s="329"/>
    </row>
    <row r="4552" ht="12.75">
      <c r="W4552" s="329"/>
    </row>
    <row r="4553" ht="12.75">
      <c r="W4553" s="329"/>
    </row>
    <row r="4554" ht="12.75">
      <c r="W4554" s="329"/>
    </row>
    <row r="4555" ht="12.75">
      <c r="W4555" s="329"/>
    </row>
    <row r="4556" ht="12.75">
      <c r="W4556" s="329"/>
    </row>
    <row r="4557" ht="12.75">
      <c r="W4557" s="329"/>
    </row>
    <row r="4558" ht="12.75">
      <c r="W4558" s="329"/>
    </row>
    <row r="4559" ht="12.75">
      <c r="W4559" s="329"/>
    </row>
    <row r="4560" ht="12.75">
      <c r="W4560" s="329"/>
    </row>
    <row r="4561" ht="12.75">
      <c r="W4561" s="329"/>
    </row>
    <row r="4562" ht="12.75">
      <c r="W4562" s="329"/>
    </row>
    <row r="4563" ht="12.75">
      <c r="W4563" s="329"/>
    </row>
    <row r="4564" ht="12.75">
      <c r="W4564" s="329"/>
    </row>
    <row r="4565" ht="12.75">
      <c r="W4565" s="329"/>
    </row>
    <row r="4566" ht="12.75">
      <c r="W4566" s="329"/>
    </row>
    <row r="4567" ht="12.75">
      <c r="W4567" s="329"/>
    </row>
    <row r="4568" ht="12.75">
      <c r="W4568" s="329"/>
    </row>
    <row r="4569" ht="12.75">
      <c r="W4569" s="329"/>
    </row>
    <row r="4570" ht="12.75">
      <c r="W4570" s="329"/>
    </row>
    <row r="4571" ht="12.75">
      <c r="W4571" s="329"/>
    </row>
    <row r="4572" ht="12.75">
      <c r="W4572" s="329"/>
    </row>
    <row r="4573" ht="12.75">
      <c r="W4573" s="329"/>
    </row>
    <row r="4574" ht="12.75">
      <c r="W4574" s="329"/>
    </row>
    <row r="4575" ht="12.75">
      <c r="W4575" s="329"/>
    </row>
    <row r="4576" ht="12.75">
      <c r="W4576" s="329"/>
    </row>
    <row r="4577" ht="12.75">
      <c r="W4577" s="329"/>
    </row>
    <row r="4578" ht="12.75">
      <c r="W4578" s="329"/>
    </row>
    <row r="4579" ht="12.75">
      <c r="W4579" s="329"/>
    </row>
    <row r="4580" ht="12.75">
      <c r="W4580" s="329"/>
    </row>
    <row r="4581" ht="12.75">
      <c r="W4581" s="329"/>
    </row>
    <row r="4582" ht="12.75">
      <c r="W4582" s="329"/>
    </row>
    <row r="4583" ht="12.75">
      <c r="W4583" s="329"/>
    </row>
    <row r="4584" ht="12.75">
      <c r="W4584" s="329"/>
    </row>
    <row r="4585" ht="12.75">
      <c r="W4585" s="329"/>
    </row>
    <row r="4586" ht="12.75">
      <c r="W4586" s="329"/>
    </row>
    <row r="4587" ht="12.75">
      <c r="W4587" s="329"/>
    </row>
    <row r="4588" ht="12.75">
      <c r="W4588" s="329"/>
    </row>
    <row r="4589" ht="12.75">
      <c r="W4589" s="329"/>
    </row>
    <row r="4590" ht="12.75">
      <c r="W4590" s="329"/>
    </row>
    <row r="4591" ht="12.75">
      <c r="W4591" s="329"/>
    </row>
    <row r="4592" ht="12.75">
      <c r="W4592" s="329"/>
    </row>
    <row r="4593" ht="12.75">
      <c r="W4593" s="329"/>
    </row>
    <row r="4594" ht="12.75">
      <c r="W4594" s="329"/>
    </row>
    <row r="4595" ht="12.75">
      <c r="W4595" s="329"/>
    </row>
    <row r="4596" ht="12.75">
      <c r="W4596" s="329"/>
    </row>
    <row r="4597" ht="12.75">
      <c r="W4597" s="329"/>
    </row>
    <row r="4598" ht="12.75">
      <c r="W4598" s="329"/>
    </row>
    <row r="4599" ht="12.75">
      <c r="W4599" s="329"/>
    </row>
    <row r="4600" ht="12.75">
      <c r="W4600" s="329"/>
    </row>
    <row r="4601" ht="12.75">
      <c r="W4601" s="329"/>
    </row>
    <row r="4602" ht="12.75">
      <c r="W4602" s="329"/>
    </row>
    <row r="4603" ht="12.75">
      <c r="W4603" s="329"/>
    </row>
    <row r="4604" ht="12.75">
      <c r="W4604" s="329"/>
    </row>
    <row r="4605" ht="12.75">
      <c r="W4605" s="329"/>
    </row>
    <row r="4606" ht="12.75">
      <c r="W4606" s="329"/>
    </row>
    <row r="4607" ht="12.75">
      <c r="W4607" s="329"/>
    </row>
    <row r="4608" ht="12.75">
      <c r="W4608" s="329"/>
    </row>
    <row r="4609" ht="12.75">
      <c r="W4609" s="329"/>
    </row>
    <row r="4610" ht="12.75">
      <c r="W4610" s="329"/>
    </row>
    <row r="4611" ht="12.75">
      <c r="W4611" s="329"/>
    </row>
    <row r="4612" ht="12.75">
      <c r="W4612" s="329"/>
    </row>
    <row r="4613" ht="12.75">
      <c r="W4613" s="329"/>
    </row>
    <row r="4614" ht="12.75">
      <c r="W4614" s="329"/>
    </row>
    <row r="4615" ht="12.75">
      <c r="W4615" s="329"/>
    </row>
    <row r="4616" ht="12.75">
      <c r="W4616" s="329"/>
    </row>
    <row r="4617" ht="12.75">
      <c r="W4617" s="329"/>
    </row>
    <row r="4618" ht="12.75">
      <c r="W4618" s="329"/>
    </row>
    <row r="4619" ht="12.75">
      <c r="W4619" s="329"/>
    </row>
    <row r="4620" ht="12.75">
      <c r="W4620" s="329"/>
    </row>
    <row r="4621" ht="12.75">
      <c r="W4621" s="329"/>
    </row>
    <row r="4622" ht="12.75">
      <c r="W4622" s="329"/>
    </row>
    <row r="4623" ht="12.75">
      <c r="W4623" s="329"/>
    </row>
    <row r="4624" ht="12.75">
      <c r="W4624" s="329"/>
    </row>
    <row r="4625" ht="12.75">
      <c r="W4625" s="329"/>
    </row>
    <row r="4626" ht="12.75">
      <c r="W4626" s="329"/>
    </row>
    <row r="4627" ht="12.75">
      <c r="W4627" s="329"/>
    </row>
    <row r="4628" ht="12.75">
      <c r="W4628" s="329"/>
    </row>
    <row r="4629" ht="12.75">
      <c r="W4629" s="329"/>
    </row>
    <row r="4630" ht="12.75">
      <c r="W4630" s="329"/>
    </row>
    <row r="4631" ht="12.75">
      <c r="W4631" s="329"/>
    </row>
    <row r="4632" ht="12.75">
      <c r="W4632" s="329"/>
    </row>
    <row r="4633" ht="12.75">
      <c r="W4633" s="329"/>
    </row>
    <row r="4634" ht="12.75">
      <c r="W4634" s="329"/>
    </row>
    <row r="4635" ht="12.75">
      <c r="W4635" s="329"/>
    </row>
    <row r="4636" ht="12.75">
      <c r="W4636" s="329"/>
    </row>
    <row r="4637" ht="12.75">
      <c r="W4637" s="329"/>
    </row>
    <row r="4638" ht="12.75">
      <c r="W4638" s="329"/>
    </row>
    <row r="4639" ht="12.75">
      <c r="W4639" s="329"/>
    </row>
    <row r="4640" ht="12.75">
      <c r="W4640" s="329"/>
    </row>
    <row r="4641" ht="12.75">
      <c r="W4641" s="329"/>
    </row>
    <row r="4642" ht="12.75">
      <c r="W4642" s="329"/>
    </row>
    <row r="4643" ht="12.75">
      <c r="W4643" s="329"/>
    </row>
    <row r="4644" ht="12.75">
      <c r="W4644" s="329"/>
    </row>
    <row r="4645" ht="12.75">
      <c r="W4645" s="329"/>
    </row>
    <row r="4646" ht="12.75">
      <c r="W4646" s="329"/>
    </row>
    <row r="4647" ht="12.75">
      <c r="W4647" s="329"/>
    </row>
    <row r="4648" ht="12.75">
      <c r="W4648" s="329"/>
    </row>
    <row r="4649" ht="12.75">
      <c r="W4649" s="329"/>
    </row>
    <row r="4650" ht="12.75">
      <c r="W4650" s="329"/>
    </row>
    <row r="4651" ht="12.75">
      <c r="W4651" s="329"/>
    </row>
    <row r="4652" ht="12.75">
      <c r="W4652" s="329"/>
    </row>
    <row r="4653" ht="12.75">
      <c r="W4653" s="329"/>
    </row>
    <row r="4654" ht="12.75">
      <c r="W4654" s="329"/>
    </row>
    <row r="4655" ht="12.75">
      <c r="W4655" s="329"/>
    </row>
    <row r="4656" ht="12.75">
      <c r="W4656" s="329"/>
    </row>
    <row r="4657" ht="12.75">
      <c r="W4657" s="329"/>
    </row>
    <row r="4658" ht="12.75">
      <c r="W4658" s="329"/>
    </row>
    <row r="4659" ht="12.75">
      <c r="W4659" s="329"/>
    </row>
    <row r="4660" ht="12.75">
      <c r="W4660" s="329"/>
    </row>
    <row r="4661" ht="12.75">
      <c r="W4661" s="329"/>
    </row>
    <row r="4662" ht="12.75">
      <c r="W4662" s="329"/>
    </row>
    <row r="4663" ht="12.75">
      <c r="W4663" s="329"/>
    </row>
    <row r="4664" ht="12.75">
      <c r="W4664" s="329"/>
    </row>
    <row r="4665" ht="12.75">
      <c r="W4665" s="329"/>
    </row>
    <row r="4666" ht="12.75">
      <c r="W4666" s="329"/>
    </row>
    <row r="4667" ht="12.75">
      <c r="W4667" s="329"/>
    </row>
    <row r="4668" ht="12.75">
      <c r="W4668" s="329"/>
    </row>
    <row r="4669" ht="12.75">
      <c r="W4669" s="329"/>
    </row>
    <row r="4670" ht="12.75">
      <c r="W4670" s="329"/>
    </row>
    <row r="4671" ht="12.75">
      <c r="W4671" s="329"/>
    </row>
    <row r="4672" ht="12.75">
      <c r="W4672" s="329"/>
    </row>
    <row r="4673" ht="12.75">
      <c r="W4673" s="329"/>
    </row>
    <row r="4674" ht="12.75">
      <c r="W4674" s="329"/>
    </row>
    <row r="4675" ht="12.75">
      <c r="W4675" s="329"/>
    </row>
    <row r="4676" ht="12.75">
      <c r="W4676" s="329"/>
    </row>
    <row r="4677" ht="12.75">
      <c r="W4677" s="329"/>
    </row>
    <row r="4678" ht="12.75">
      <c r="W4678" s="329"/>
    </row>
    <row r="4679" ht="12.75">
      <c r="W4679" s="329"/>
    </row>
    <row r="4680" ht="12.75">
      <c r="W4680" s="329"/>
    </row>
    <row r="4681" ht="12.75">
      <c r="W4681" s="329"/>
    </row>
    <row r="4682" ht="12.75">
      <c r="W4682" s="329"/>
    </row>
    <row r="4683" ht="12.75">
      <c r="W4683" s="329"/>
    </row>
    <row r="4684" ht="12.75">
      <c r="W4684" s="329"/>
    </row>
    <row r="4685" ht="12.75">
      <c r="W4685" s="329"/>
    </row>
    <row r="4686" ht="12.75">
      <c r="W4686" s="329"/>
    </row>
    <row r="4687" ht="12.75">
      <c r="W4687" s="329"/>
    </row>
    <row r="4688" ht="12.75">
      <c r="W4688" s="329"/>
    </row>
    <row r="4689" ht="12.75">
      <c r="W4689" s="329"/>
    </row>
    <row r="4690" ht="12.75">
      <c r="W4690" s="329"/>
    </row>
    <row r="4691" ht="12.75">
      <c r="W4691" s="329"/>
    </row>
    <row r="4692" ht="12.75">
      <c r="W4692" s="329"/>
    </row>
    <row r="4693" ht="12.75">
      <c r="W4693" s="329"/>
    </row>
    <row r="4694" ht="12.75">
      <c r="W4694" s="329"/>
    </row>
    <row r="4695" ht="12.75">
      <c r="W4695" s="329"/>
    </row>
    <row r="4696" ht="12.75">
      <c r="W4696" s="329"/>
    </row>
    <row r="4697" ht="12.75">
      <c r="W4697" s="329"/>
    </row>
    <row r="4698" ht="12.75">
      <c r="W4698" s="329"/>
    </row>
    <row r="4699" ht="12.75">
      <c r="W4699" s="329"/>
    </row>
    <row r="4700" ht="12.75">
      <c r="W4700" s="329"/>
    </row>
    <row r="4701" ht="12.75">
      <c r="W4701" s="329"/>
    </row>
    <row r="4702" ht="12.75">
      <c r="W4702" s="329"/>
    </row>
    <row r="4703" ht="12.75">
      <c r="W4703" s="329"/>
    </row>
    <row r="4704" ht="12.75">
      <c r="W4704" s="329"/>
    </row>
    <row r="4705" ht="12.75">
      <c r="W4705" s="329"/>
    </row>
    <row r="4706" ht="12.75">
      <c r="W4706" s="329"/>
    </row>
    <row r="4707" ht="12.75">
      <c r="W4707" s="329"/>
    </row>
    <row r="4708" ht="12.75">
      <c r="W4708" s="329"/>
    </row>
    <row r="4709" ht="12.75">
      <c r="W4709" s="329"/>
    </row>
    <row r="4710" ht="12.75">
      <c r="W4710" s="329"/>
    </row>
    <row r="4711" ht="12.75">
      <c r="W4711" s="329"/>
    </row>
    <row r="4712" ht="12.75">
      <c r="W4712" s="329"/>
    </row>
    <row r="4713" ht="12.75">
      <c r="W4713" s="329"/>
    </row>
    <row r="4714" ht="12.75">
      <c r="W4714" s="329"/>
    </row>
    <row r="4715" ht="12.75">
      <c r="W4715" s="329"/>
    </row>
    <row r="4716" ht="12.75">
      <c r="W4716" s="329"/>
    </row>
    <row r="4717" ht="12.75">
      <c r="W4717" s="329"/>
    </row>
    <row r="4718" ht="12.75">
      <c r="W4718" s="329"/>
    </row>
    <row r="4719" ht="12.75">
      <c r="W4719" s="329"/>
    </row>
    <row r="4720" ht="12.75">
      <c r="W4720" s="329"/>
    </row>
    <row r="4721" ht="12.75">
      <c r="W4721" s="329"/>
    </row>
    <row r="4722" ht="12.75">
      <c r="W4722" s="329"/>
    </row>
    <row r="4723" ht="12.75">
      <c r="W4723" s="329"/>
    </row>
    <row r="4724" ht="12.75">
      <c r="W4724" s="329"/>
    </row>
    <row r="4725" ht="12.75">
      <c r="W4725" s="329"/>
    </row>
    <row r="4726" ht="12.75">
      <c r="W4726" s="329"/>
    </row>
    <row r="4727" ht="12.75">
      <c r="W4727" s="329"/>
    </row>
    <row r="4728" ht="12.75">
      <c r="W4728" s="329"/>
    </row>
    <row r="4729" ht="12.75">
      <c r="W4729" s="329"/>
    </row>
    <row r="4730" ht="12.75">
      <c r="W4730" s="329"/>
    </row>
    <row r="4731" ht="12.75">
      <c r="W4731" s="329"/>
    </row>
    <row r="4732" ht="12.75">
      <c r="W4732" s="329"/>
    </row>
    <row r="4733" ht="12.75">
      <c r="W4733" s="329"/>
    </row>
    <row r="4734" ht="12.75">
      <c r="W4734" s="329"/>
    </row>
    <row r="4735" ht="12.75">
      <c r="W4735" s="329"/>
    </row>
    <row r="4736" ht="12.75">
      <c r="W4736" s="329"/>
    </row>
    <row r="4737" ht="12.75">
      <c r="W4737" s="329"/>
    </row>
    <row r="4738" ht="12.75">
      <c r="W4738" s="329"/>
    </row>
    <row r="4739" ht="12.75">
      <c r="W4739" s="329"/>
    </row>
    <row r="4740" ht="12.75">
      <c r="W4740" s="329"/>
    </row>
    <row r="4741" ht="12.75">
      <c r="W4741" s="329"/>
    </row>
    <row r="4742" ht="12.75">
      <c r="W4742" s="329"/>
    </row>
    <row r="4743" ht="12.75">
      <c r="W4743" s="329"/>
    </row>
    <row r="4744" ht="12.75">
      <c r="W4744" s="329"/>
    </row>
    <row r="4745" ht="12.75">
      <c r="W4745" s="329"/>
    </row>
    <row r="4746" ht="12.75">
      <c r="W4746" s="329"/>
    </row>
    <row r="4747" ht="12.75">
      <c r="W4747" s="329"/>
    </row>
    <row r="4748" ht="12.75">
      <c r="W4748" s="329"/>
    </row>
    <row r="4749" ht="12.75">
      <c r="W4749" s="329"/>
    </row>
    <row r="4750" ht="12.75">
      <c r="W4750" s="329"/>
    </row>
    <row r="4751" ht="12.75">
      <c r="W4751" s="329"/>
    </row>
    <row r="4752" ht="12.75">
      <c r="W4752" s="329"/>
    </row>
    <row r="4753" ht="12.75">
      <c r="W4753" s="329"/>
    </row>
    <row r="4754" ht="12.75">
      <c r="W4754" s="329"/>
    </row>
    <row r="4755" ht="12.75">
      <c r="W4755" s="329"/>
    </row>
    <row r="4756" ht="12.75">
      <c r="W4756" s="329"/>
    </row>
    <row r="4757" ht="12.75">
      <c r="W4757" s="329"/>
    </row>
    <row r="4758" ht="12.75">
      <c r="W4758" s="329"/>
    </row>
    <row r="4759" ht="12.75">
      <c r="W4759" s="329"/>
    </row>
    <row r="4760" ht="12.75">
      <c r="W4760" s="329"/>
    </row>
    <row r="4761" ht="12.75">
      <c r="W4761" s="329"/>
    </row>
    <row r="4762" ht="12.75">
      <c r="W4762" s="329"/>
    </row>
    <row r="4763" ht="12.75">
      <c r="W4763" s="329"/>
    </row>
    <row r="4764" ht="12.75">
      <c r="W4764" s="329"/>
    </row>
    <row r="4765" ht="12.75">
      <c r="W4765" s="329"/>
    </row>
    <row r="4766" ht="12.75">
      <c r="W4766" s="329"/>
    </row>
    <row r="4767" ht="12.75">
      <c r="W4767" s="329"/>
    </row>
    <row r="4768" ht="12.75">
      <c r="W4768" s="329"/>
    </row>
    <row r="4769" ht="12.75">
      <c r="W4769" s="329"/>
    </row>
    <row r="4770" ht="12.75">
      <c r="W4770" s="329"/>
    </row>
    <row r="4771" ht="12.75">
      <c r="W4771" s="329"/>
    </row>
    <row r="4772" ht="12.75">
      <c r="W4772" s="329"/>
    </row>
    <row r="4773" ht="12.75">
      <c r="W4773" s="329"/>
    </row>
    <row r="4774" ht="12.75">
      <c r="W4774" s="329"/>
    </row>
    <row r="4775" ht="12.75">
      <c r="W4775" s="329"/>
    </row>
    <row r="4776" ht="12.75">
      <c r="W4776" s="329"/>
    </row>
    <row r="4777" ht="12.75">
      <c r="W4777" s="329"/>
    </row>
    <row r="4778" ht="12.75">
      <c r="W4778" s="329"/>
    </row>
    <row r="4779" ht="12.75">
      <c r="W4779" s="329"/>
    </row>
    <row r="4780" ht="12.75">
      <c r="W4780" s="329"/>
    </row>
    <row r="4781" ht="12.75">
      <c r="W4781" s="329"/>
    </row>
    <row r="4782" ht="12.75">
      <c r="W4782" s="329"/>
    </row>
    <row r="4783" ht="12.75">
      <c r="W4783" s="329"/>
    </row>
    <row r="4784" ht="12.75">
      <c r="W4784" s="329"/>
    </row>
    <row r="4785" ht="12.75">
      <c r="W4785" s="329"/>
    </row>
    <row r="4786" ht="12.75">
      <c r="W4786" s="329"/>
    </row>
    <row r="4787" ht="12.75">
      <c r="W4787" s="329"/>
    </row>
    <row r="4788" ht="12.75">
      <c r="W4788" s="329"/>
    </row>
    <row r="4789" ht="12.75">
      <c r="W4789" s="329"/>
    </row>
    <row r="4790" ht="12.75">
      <c r="W4790" s="329"/>
    </row>
    <row r="4791" ht="12.75">
      <c r="W4791" s="329"/>
    </row>
    <row r="4792" ht="12.75">
      <c r="W4792" s="329"/>
    </row>
    <row r="4793" ht="12.75">
      <c r="W4793" s="329"/>
    </row>
    <row r="4794" ht="12.75">
      <c r="W4794" s="329"/>
    </row>
    <row r="4795" ht="12.75">
      <c r="W4795" s="329"/>
    </row>
    <row r="4796" ht="12.75">
      <c r="W4796" s="329"/>
    </row>
    <row r="4797" ht="12.75">
      <c r="W4797" s="329"/>
    </row>
    <row r="4798" ht="12.75">
      <c r="W4798" s="329"/>
    </row>
    <row r="4799" ht="12.75">
      <c r="W4799" s="329"/>
    </row>
    <row r="4800" ht="12.75">
      <c r="W4800" s="329"/>
    </row>
    <row r="4801" ht="12.75">
      <c r="W4801" s="329"/>
    </row>
    <row r="4802" ht="12.75">
      <c r="W4802" s="329"/>
    </row>
    <row r="4803" ht="12.75">
      <c r="W4803" s="329"/>
    </row>
    <row r="4804" ht="12.75">
      <c r="W4804" s="329"/>
    </row>
    <row r="4805" ht="12.75">
      <c r="W4805" s="329"/>
    </row>
    <row r="4806" ht="12.75">
      <c r="W4806" s="329"/>
    </row>
    <row r="4807" ht="12.75">
      <c r="W4807" s="329"/>
    </row>
    <row r="4808" ht="12.75">
      <c r="W4808" s="329"/>
    </row>
    <row r="4809" ht="12.75">
      <c r="W4809" s="329"/>
    </row>
    <row r="4810" ht="12.75">
      <c r="W4810" s="329"/>
    </row>
    <row r="4811" ht="12.75">
      <c r="W4811" s="329"/>
    </row>
    <row r="4812" ht="12.75">
      <c r="W4812" s="329"/>
    </row>
    <row r="4813" ht="12.75">
      <c r="W4813" s="329"/>
    </row>
    <row r="4814" ht="12.75">
      <c r="W4814" s="329"/>
    </row>
    <row r="4815" ht="12.75">
      <c r="W4815" s="329"/>
    </row>
    <row r="4816" ht="12.75">
      <c r="W4816" s="329"/>
    </row>
    <row r="4817" ht="12.75">
      <c r="W4817" s="329"/>
    </row>
    <row r="4818" ht="12.75">
      <c r="W4818" s="329"/>
    </row>
    <row r="4819" ht="12.75">
      <c r="W4819" s="329"/>
    </row>
    <row r="4820" ht="12.75">
      <c r="W4820" s="329"/>
    </row>
    <row r="4821" ht="12.75">
      <c r="W4821" s="329"/>
    </row>
    <row r="4822" ht="12.75">
      <c r="W4822" s="329"/>
    </row>
    <row r="4823" ht="12.75">
      <c r="W4823" s="329"/>
    </row>
    <row r="4824" ht="12.75">
      <c r="W4824" s="329"/>
    </row>
    <row r="4825" ht="12.75">
      <c r="W4825" s="329"/>
    </row>
    <row r="4826" ht="12.75">
      <c r="W4826" s="329"/>
    </row>
    <row r="4827" ht="12.75">
      <c r="W4827" s="329"/>
    </row>
    <row r="4828" ht="12.75">
      <c r="W4828" s="329"/>
    </row>
    <row r="4829" ht="12.75">
      <c r="W4829" s="329"/>
    </row>
    <row r="4830" ht="12.75">
      <c r="W4830" s="329"/>
    </row>
    <row r="4831" ht="12.75">
      <c r="W4831" s="329"/>
    </row>
    <row r="4832" ht="12.75">
      <c r="W4832" s="329"/>
    </row>
    <row r="4833" ht="12.75">
      <c r="W4833" s="329"/>
    </row>
    <row r="4834" ht="12.75">
      <c r="W4834" s="329"/>
    </row>
    <row r="4835" ht="12.75">
      <c r="W4835" s="329"/>
    </row>
    <row r="4836" ht="12.75">
      <c r="W4836" s="329"/>
    </row>
    <row r="4837" ht="12.75">
      <c r="W4837" s="329"/>
    </row>
    <row r="4838" ht="12.75">
      <c r="W4838" s="329"/>
    </row>
    <row r="4839" ht="12.75">
      <c r="W4839" s="329"/>
    </row>
    <row r="4840" ht="12.75">
      <c r="W4840" s="329"/>
    </row>
    <row r="4841" ht="12.75">
      <c r="W4841" s="329"/>
    </row>
    <row r="4842" ht="12.75">
      <c r="W4842" s="329"/>
    </row>
    <row r="4843" ht="12.75">
      <c r="W4843" s="329"/>
    </row>
    <row r="4844" ht="12.75">
      <c r="W4844" s="329"/>
    </row>
    <row r="4845" ht="12.75">
      <c r="W4845" s="329"/>
    </row>
    <row r="4846" ht="12.75">
      <c r="W4846" s="329"/>
    </row>
    <row r="4847" ht="12.75">
      <c r="W4847" s="329"/>
    </row>
    <row r="4848" ht="12.75">
      <c r="W4848" s="329"/>
    </row>
    <row r="4849" ht="12.75">
      <c r="W4849" s="329"/>
    </row>
    <row r="4850" ht="12.75">
      <c r="W4850" s="329"/>
    </row>
    <row r="4851" ht="12.75">
      <c r="W4851" s="329"/>
    </row>
    <row r="4852" ht="12.75">
      <c r="W4852" s="329"/>
    </row>
    <row r="4853" ht="12.75">
      <c r="W4853" s="329"/>
    </row>
    <row r="4854" ht="12.75">
      <c r="W4854" s="329"/>
    </row>
    <row r="4855" ht="12.75">
      <c r="W4855" s="329"/>
    </row>
    <row r="4856" ht="12.75">
      <c r="W4856" s="329"/>
    </row>
    <row r="4857" ht="12.75">
      <c r="W4857" s="329"/>
    </row>
    <row r="4858" ht="12.75">
      <c r="W4858" s="329"/>
    </row>
    <row r="4859" ht="12.75">
      <c r="W4859" s="329"/>
    </row>
    <row r="4860" ht="12.75">
      <c r="W4860" s="329"/>
    </row>
    <row r="4861" ht="12.75">
      <c r="W4861" s="329"/>
    </row>
    <row r="4862" ht="12.75">
      <c r="W4862" s="329"/>
    </row>
    <row r="4863" ht="12.75">
      <c r="W4863" s="329"/>
    </row>
    <row r="4864" ht="12.75">
      <c r="W4864" s="329"/>
    </row>
    <row r="4865" ht="12.75">
      <c r="W4865" s="329"/>
    </row>
    <row r="4866" ht="12.75">
      <c r="W4866" s="329"/>
    </row>
    <row r="4867" ht="12.75">
      <c r="W4867" s="329"/>
    </row>
    <row r="4868" ht="12.75">
      <c r="W4868" s="329"/>
    </row>
    <row r="4869" ht="12.75">
      <c r="W4869" s="329"/>
    </row>
    <row r="4870" ht="12.75">
      <c r="W4870" s="329"/>
    </row>
    <row r="4871" ht="12.75">
      <c r="W4871" s="329"/>
    </row>
    <row r="4872" ht="12.75">
      <c r="W4872" s="329"/>
    </row>
    <row r="4873" ht="12.75">
      <c r="W4873" s="329"/>
    </row>
    <row r="4874" ht="12.75">
      <c r="W4874" s="329"/>
    </row>
    <row r="4875" ht="12.75">
      <c r="W4875" s="329"/>
    </row>
    <row r="4876" ht="12.75">
      <c r="W4876" s="329"/>
    </row>
    <row r="4877" ht="12.75">
      <c r="W4877" s="329"/>
    </row>
    <row r="4878" ht="12.75">
      <c r="W4878" s="329"/>
    </row>
    <row r="4879" ht="12.75">
      <c r="W4879" s="329"/>
    </row>
    <row r="4880" ht="12.75">
      <c r="W4880" s="329"/>
    </row>
    <row r="4881" ht="12.75">
      <c r="W4881" s="329"/>
    </row>
    <row r="4882" ht="12.75">
      <c r="W4882" s="329"/>
    </row>
    <row r="4883" ht="12.75">
      <c r="W4883" s="329"/>
    </row>
    <row r="4884" ht="12.75">
      <c r="W4884" s="329"/>
    </row>
    <row r="4885" ht="12.75">
      <c r="W4885" s="329"/>
    </row>
    <row r="4886" ht="12.75">
      <c r="W4886" s="329"/>
    </row>
    <row r="4887" ht="12.75">
      <c r="W4887" s="329"/>
    </row>
    <row r="4888" ht="12.75">
      <c r="W4888" s="329"/>
    </row>
    <row r="4889" ht="12.75">
      <c r="W4889" s="329"/>
    </row>
    <row r="4890" ht="12.75">
      <c r="W4890" s="329"/>
    </row>
    <row r="4891" ht="12.75">
      <c r="W4891" s="329"/>
    </row>
    <row r="4892" ht="12.75">
      <c r="W4892" s="329"/>
    </row>
    <row r="4893" ht="12.75">
      <c r="W4893" s="329"/>
    </row>
    <row r="4894" ht="12.75">
      <c r="W4894" s="329"/>
    </row>
    <row r="4895" ht="12.75">
      <c r="W4895" s="329"/>
    </row>
    <row r="4896" ht="12.75">
      <c r="W4896" s="329"/>
    </row>
    <row r="4897" ht="12.75">
      <c r="W4897" s="329"/>
    </row>
    <row r="4898" ht="12.75">
      <c r="W4898" s="329"/>
    </row>
    <row r="4899" ht="12.75">
      <c r="W4899" s="329"/>
    </row>
    <row r="4900" ht="12.75">
      <c r="W4900" s="329"/>
    </row>
    <row r="4901" ht="12.75">
      <c r="W4901" s="329"/>
    </row>
    <row r="4902" ht="12.75">
      <c r="W4902" s="329"/>
    </row>
    <row r="4903" ht="12.75">
      <c r="W4903" s="329"/>
    </row>
    <row r="4904" ht="12.75">
      <c r="W4904" s="329"/>
    </row>
    <row r="4905" ht="12.75">
      <c r="W4905" s="329"/>
    </row>
    <row r="4906" ht="12.75">
      <c r="W4906" s="329"/>
    </row>
    <row r="4907" ht="12.75">
      <c r="W4907" s="329"/>
    </row>
    <row r="4908" ht="12.75">
      <c r="W4908" s="329"/>
    </row>
    <row r="4909" ht="12.75">
      <c r="W4909" s="329"/>
    </row>
    <row r="4910" ht="12.75">
      <c r="W4910" s="329"/>
    </row>
    <row r="4911" ht="12.75">
      <c r="W4911" s="329"/>
    </row>
    <row r="4912" ht="12.75">
      <c r="W4912" s="329"/>
    </row>
    <row r="4913" ht="12.75">
      <c r="W4913" s="329"/>
    </row>
    <row r="4914" ht="12.75">
      <c r="W4914" s="329"/>
    </row>
    <row r="4915" ht="12.75">
      <c r="W4915" s="329"/>
    </row>
    <row r="4916" ht="12.75">
      <c r="W4916" s="329"/>
    </row>
    <row r="4917" ht="12.75">
      <c r="W4917" s="329"/>
    </row>
    <row r="4918" ht="12.75">
      <c r="W4918" s="329"/>
    </row>
    <row r="4919" ht="12.75">
      <c r="W4919" s="329"/>
    </row>
    <row r="4920" ht="12.75">
      <c r="W4920" s="329"/>
    </row>
    <row r="4921" ht="12.75">
      <c r="W4921" s="329"/>
    </row>
  </sheetData>
  <sheetProtection/>
  <autoFilter ref="X7:Z525"/>
  <mergeCells count="25">
    <mergeCell ref="M1:W1"/>
    <mergeCell ref="A2:W2"/>
    <mergeCell ref="A4:F5"/>
    <mergeCell ref="G4:G6"/>
    <mergeCell ref="H4:H6"/>
    <mergeCell ref="J4:Q4"/>
    <mergeCell ref="E6:F6"/>
    <mergeCell ref="N5:N6"/>
    <mergeCell ref="Q5:Q6"/>
    <mergeCell ref="V4:W4"/>
    <mergeCell ref="A529:G529"/>
    <mergeCell ref="L5:L6"/>
    <mergeCell ref="M5:M6"/>
    <mergeCell ref="J5:J6"/>
    <mergeCell ref="K5:K6"/>
    <mergeCell ref="A528:G528"/>
    <mergeCell ref="I4:I6"/>
    <mergeCell ref="O5:O6"/>
    <mergeCell ref="S5:S6"/>
    <mergeCell ref="V5:V6"/>
    <mergeCell ref="W5:W6"/>
    <mergeCell ref="T5:T6"/>
    <mergeCell ref="U5:U6"/>
    <mergeCell ref="P5:P6"/>
    <mergeCell ref="R5:R6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12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user</cp:lastModifiedBy>
  <cp:lastPrinted>2020-04-10T11:41:36Z</cp:lastPrinted>
  <dcterms:created xsi:type="dcterms:W3CDTF">2015-09-23T05:26:21Z</dcterms:created>
  <dcterms:modified xsi:type="dcterms:W3CDTF">2020-06-09T11:25:21Z</dcterms:modified>
  <cp:category/>
  <cp:version/>
  <cp:contentType/>
  <cp:contentStatus/>
</cp:coreProperties>
</file>