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90" yWindow="90" windowWidth="15810" windowHeight="12135" firstSheet="5" activeTab="5"/>
  </bookViews>
  <sheets>
    <sheet name="Белое озеро(после конкурса)" sheetId="21" state="hidden" r:id="rId1"/>
    <sheet name="Реестр Постановлений 2020" sheetId="22" state="hidden" r:id="rId2"/>
    <sheet name="Реестр Постановлений 2019" sheetId="19" state="hidden" r:id="rId3"/>
    <sheet name="отчет 2020" sheetId="23" state="hidden" r:id="rId4"/>
    <sheet name="старый Реестр с указанием УО" sheetId="20" state="hidden" r:id="rId5"/>
    <sheet name="Лист1" sheetId="24" r:id="rId6"/>
  </sheets>
  <definedNames>
    <definedName name="_xlnm._FilterDatabase" localSheetId="0" hidden="1">'Белое озеро(после конкурса)'!$A$9:$AX$9</definedName>
    <definedName name="_xlnm._FilterDatabase" localSheetId="2" hidden="1">'Реестр Постановлений 2019'!$A$7:$K$31</definedName>
    <definedName name="_xlnm._FilterDatabase" localSheetId="1" hidden="1">'Реестр Постановлений 2020'!$A$7:$K$48</definedName>
    <definedName name="_xlnm.Print_Titles" localSheetId="5">Лист1!$8:$8</definedName>
    <definedName name="_xlnm.Print_Area" localSheetId="0">'Белое озеро(после конкурса)'!$A$3:$AN$66</definedName>
    <definedName name="_xlnm.Print_Area" localSheetId="5">Лист1!$A$1:$J$44</definedName>
    <definedName name="_xlnm.Print_Area" localSheetId="2">'Реестр Постановлений 2019'!$A$1:$G$55</definedName>
    <definedName name="_xlnm.Print_Area" localSheetId="4">'старый Реестр с указанием УО'!#REF!</definedName>
  </definedNames>
  <calcPr calcId="152511"/>
</workbook>
</file>

<file path=xl/calcChain.xml><?xml version="1.0" encoding="utf-8"?>
<calcChain xmlns="http://schemas.openxmlformats.org/spreadsheetml/2006/main">
  <c r="G23" i="24" l="1"/>
  <c r="I23" i="24" s="1"/>
  <c r="G27" i="24"/>
  <c r="I27" i="24" s="1"/>
  <c r="G36" i="24"/>
  <c r="I36" i="24" s="1"/>
  <c r="G35" i="24"/>
  <c r="I35" i="24" s="1"/>
  <c r="G12" i="24"/>
  <c r="G41" i="24"/>
  <c r="G13" i="24"/>
  <c r="G40" i="24"/>
  <c r="I40" i="24" s="1"/>
  <c r="G38" i="24"/>
  <c r="I38" i="24" s="1"/>
  <c r="G37" i="24"/>
  <c r="G16" i="24"/>
  <c r="I16" i="24" s="1"/>
  <c r="G15" i="24"/>
  <c r="I15" i="24" s="1"/>
  <c r="G44" i="24"/>
  <c r="G43" i="24"/>
  <c r="I43" i="24" s="1"/>
  <c r="G42" i="24"/>
  <c r="I42" i="24" s="1"/>
  <c r="G24" i="24"/>
  <c r="I24" i="24" s="1"/>
  <c r="G17" i="24"/>
  <c r="I17" i="24" s="1"/>
  <c r="G34" i="24"/>
  <c r="I34" i="24" s="1"/>
  <c r="G33" i="24"/>
  <c r="G22" i="24"/>
  <c r="I22" i="24" s="1"/>
  <c r="G18" i="24"/>
  <c r="I18" i="24" s="1"/>
  <c r="G25" i="24"/>
  <c r="I25" i="24" s="1"/>
  <c r="G26" i="24"/>
  <c r="G28" i="24"/>
  <c r="I28" i="24" s="1"/>
  <c r="G31" i="24"/>
  <c r="I31" i="24" s="1"/>
  <c r="G32" i="24"/>
  <c r="I32" i="24" s="1"/>
  <c r="H44" i="24"/>
  <c r="I44" i="24"/>
  <c r="G39" i="24"/>
  <c r="H32" i="24"/>
  <c r="H33" i="24"/>
  <c r="I33" i="24"/>
  <c r="H34" i="24"/>
  <c r="H35" i="24"/>
  <c r="H36" i="24"/>
  <c r="H37" i="24"/>
  <c r="I37" i="24"/>
  <c r="H38" i="24"/>
  <c r="H39" i="24"/>
  <c r="I39" i="24"/>
  <c r="H40" i="24"/>
  <c r="H41" i="24"/>
  <c r="I41" i="24"/>
  <c r="H42" i="24"/>
  <c r="H43" i="24"/>
  <c r="G30" i="24"/>
  <c r="I30" i="24" s="1"/>
  <c r="G29" i="24"/>
  <c r="I29" i="24" s="1"/>
  <c r="G21" i="24"/>
  <c r="I21" i="24" s="1"/>
  <c r="G20" i="24"/>
  <c r="I20" i="24" s="1"/>
  <c r="G19" i="24"/>
  <c r="I19" i="24" s="1"/>
  <c r="G14" i="24"/>
  <c r="I14" i="24" s="1"/>
  <c r="G11" i="24"/>
  <c r="H11" i="24"/>
  <c r="I11" i="24"/>
  <c r="H12" i="24"/>
  <c r="I12" i="24"/>
  <c r="H13" i="24"/>
  <c r="I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I26" i="24"/>
  <c r="H27" i="24"/>
  <c r="H28" i="24"/>
  <c r="H29" i="24"/>
  <c r="H30" i="24"/>
  <c r="H31" i="24"/>
  <c r="G10" i="24"/>
  <c r="G9" i="24"/>
  <c r="H9" i="24"/>
  <c r="I10" i="24" l="1"/>
  <c r="I9" i="24"/>
  <c r="H10" i="24"/>
  <c r="C8" i="24"/>
  <c r="D8" i="24" s="1"/>
  <c r="E8" i="24" s="1"/>
  <c r="F8" i="24" s="1"/>
  <c r="G8" i="24" s="1"/>
  <c r="H8" i="24" s="1"/>
  <c r="I8" i="24" s="1"/>
  <c r="J8" i="24" s="1"/>
  <c r="D12" i="23" l="1"/>
  <c r="D13" i="23"/>
  <c r="D10" i="23"/>
  <c r="D11" i="23"/>
  <c r="C11" i="23" l="1"/>
  <c r="C10" i="23"/>
  <c r="D9" i="23"/>
  <c r="D21" i="23" s="1"/>
  <c r="F45" i="22" l="1"/>
  <c r="E45" i="22"/>
  <c r="C12" i="23"/>
  <c r="C9" i="23"/>
  <c r="C8" i="23"/>
  <c r="E48" i="22" l="1"/>
  <c r="E18" i="23"/>
  <c r="C20" i="23"/>
  <c r="AQ66" i="21" l="1"/>
  <c r="AR66" i="21" s="1"/>
  <c r="AW66" i="21" s="1"/>
  <c r="AQ65" i="21"/>
  <c r="AR65" i="21" s="1"/>
  <c r="AW65" i="21" s="1"/>
  <c r="AQ64" i="21"/>
  <c r="AR64" i="21" s="1"/>
  <c r="AW64" i="21" s="1"/>
  <c r="AQ63" i="21"/>
  <c r="AR63" i="21" s="1"/>
  <c r="AW63" i="21" s="1"/>
  <c r="AQ62" i="21"/>
  <c r="AR62" i="21" s="1"/>
  <c r="AW62" i="21" s="1"/>
  <c r="AQ61" i="21"/>
  <c r="AR61" i="21" s="1"/>
  <c r="AW61" i="21" s="1"/>
  <c r="AQ60" i="21"/>
  <c r="AR60" i="21" s="1"/>
  <c r="AW60" i="21" s="1"/>
  <c r="AQ59" i="21"/>
  <c r="AR59" i="21" s="1"/>
  <c r="AW59" i="21" s="1"/>
  <c r="AQ58" i="21"/>
  <c r="AR58" i="21" s="1"/>
  <c r="AW58" i="21" s="1"/>
  <c r="AQ57" i="21"/>
  <c r="AR57" i="21" s="1"/>
  <c r="AW57" i="21" s="1"/>
  <c r="AQ56" i="21"/>
  <c r="AR56" i="21" s="1"/>
  <c r="AW56" i="21" s="1"/>
  <c r="AQ55" i="21"/>
  <c r="AR55" i="21" s="1"/>
  <c r="AW55" i="21" s="1"/>
  <c r="AQ54" i="21"/>
  <c r="AR54" i="21" s="1"/>
  <c r="AW54" i="21" s="1"/>
  <c r="AQ53" i="21"/>
  <c r="AR53" i="21" s="1"/>
  <c r="AW53" i="21" s="1"/>
  <c r="AQ52" i="21"/>
  <c r="AR52" i="21" s="1"/>
  <c r="AW52" i="21" s="1"/>
  <c r="AQ51" i="21"/>
  <c r="AR51" i="21" s="1"/>
  <c r="AW51" i="21" s="1"/>
  <c r="AQ50" i="21"/>
  <c r="AR50" i="21" s="1"/>
  <c r="AW50" i="21" s="1"/>
  <c r="AQ49" i="21"/>
  <c r="AR49" i="21" s="1"/>
  <c r="AW49" i="21" s="1"/>
  <c r="AQ48" i="21"/>
  <c r="AR48" i="21" s="1"/>
  <c r="AW48" i="21" s="1"/>
  <c r="AQ47" i="21"/>
  <c r="AR47" i="21" s="1"/>
  <c r="AW47" i="21" s="1"/>
  <c r="AQ46" i="21"/>
  <c r="AR46" i="21" s="1"/>
  <c r="AW46" i="21" s="1"/>
  <c r="AQ45" i="21"/>
  <c r="AR45" i="21" s="1"/>
  <c r="AW45" i="21" s="1"/>
  <c r="AQ44" i="21"/>
  <c r="AR44" i="21" s="1"/>
  <c r="AW44" i="21" s="1"/>
  <c r="AQ43" i="21"/>
  <c r="AR43" i="21" s="1"/>
  <c r="AW43" i="21" s="1"/>
  <c r="AQ42" i="21"/>
  <c r="AR42" i="21" s="1"/>
  <c r="AW42" i="21" s="1"/>
  <c r="AQ41" i="21"/>
  <c r="AR41" i="21" s="1"/>
  <c r="AW41" i="21" s="1"/>
  <c r="AQ40" i="21"/>
  <c r="AR40" i="21" s="1"/>
  <c r="AW40" i="21" s="1"/>
  <c r="AQ39" i="21"/>
  <c r="AR39" i="21" s="1"/>
  <c r="AW39" i="21" s="1"/>
  <c r="AQ38" i="21"/>
  <c r="AR38" i="21" s="1"/>
  <c r="AW38" i="21" s="1"/>
  <c r="AQ37" i="21"/>
  <c r="AR37" i="21" s="1"/>
  <c r="AW37" i="21" s="1"/>
  <c r="AQ36" i="21"/>
  <c r="AR36" i="21" s="1"/>
  <c r="AW36" i="21" s="1"/>
  <c r="AQ35" i="21"/>
  <c r="AR35" i="21" s="1"/>
  <c r="AW35" i="21" s="1"/>
  <c r="AQ34" i="21"/>
  <c r="AR34" i="21" s="1"/>
  <c r="AW34" i="21" s="1"/>
  <c r="AQ33" i="21"/>
  <c r="AR33" i="21" s="1"/>
  <c r="AW33" i="21" s="1"/>
  <c r="AQ32" i="21"/>
  <c r="AR32" i="21" s="1"/>
  <c r="AW32" i="21" s="1"/>
  <c r="AQ31" i="21"/>
  <c r="AR31" i="21" s="1"/>
  <c r="AW31" i="21" s="1"/>
  <c r="AQ30" i="21"/>
  <c r="AR30" i="21" s="1"/>
  <c r="AW30" i="21" s="1"/>
  <c r="AQ29" i="21"/>
  <c r="AR29" i="21" s="1"/>
  <c r="AW29" i="21" s="1"/>
  <c r="AQ28" i="21"/>
  <c r="AR28" i="21" s="1"/>
  <c r="AW28" i="21" s="1"/>
  <c r="AQ27" i="21"/>
  <c r="AR27" i="21" s="1"/>
  <c r="AW27" i="21" s="1"/>
  <c r="AQ26" i="21"/>
  <c r="AR26" i="21" s="1"/>
  <c r="AW26" i="21" s="1"/>
  <c r="AQ25" i="21"/>
  <c r="AR25" i="21" s="1"/>
  <c r="AW25" i="21" s="1"/>
  <c r="AQ24" i="21"/>
  <c r="AR24" i="21" s="1"/>
  <c r="AW24" i="21" s="1"/>
  <c r="AQ23" i="21"/>
  <c r="AR23" i="21" s="1"/>
  <c r="AW23" i="21" s="1"/>
  <c r="AQ22" i="21"/>
  <c r="AR22" i="21" s="1"/>
  <c r="AW22" i="21" s="1"/>
  <c r="AQ21" i="21"/>
  <c r="AR21" i="21" s="1"/>
  <c r="AW21" i="21" s="1"/>
  <c r="AQ20" i="21"/>
  <c r="AR20" i="21" s="1"/>
  <c r="AW20" i="21" s="1"/>
  <c r="AQ19" i="21"/>
  <c r="AR19" i="21" s="1"/>
  <c r="AW19" i="21" s="1"/>
  <c r="AQ18" i="21"/>
  <c r="AR18" i="21" s="1"/>
  <c r="AW18" i="21" s="1"/>
  <c r="AQ17" i="21"/>
  <c r="AR17" i="21" s="1"/>
  <c r="AW17" i="21" s="1"/>
  <c r="AQ16" i="21"/>
  <c r="AR16" i="21" s="1"/>
  <c r="AW16" i="21" s="1"/>
  <c r="AQ15" i="21"/>
  <c r="AR15" i="21" s="1"/>
  <c r="AW15" i="21" s="1"/>
  <c r="AQ14" i="21"/>
  <c r="AR14" i="21" s="1"/>
  <c r="AW14" i="21" s="1"/>
  <c r="AQ13" i="21"/>
  <c r="AR13" i="21" s="1"/>
  <c r="AW13" i="21" s="1"/>
  <c r="AQ12" i="21"/>
  <c r="AR12" i="21" s="1"/>
  <c r="AW12" i="21" s="1"/>
  <c r="AQ11" i="21"/>
  <c r="AR11" i="21" s="1"/>
  <c r="AW11" i="21" s="1"/>
  <c r="AQ10" i="21"/>
  <c r="AR10" i="21" s="1"/>
  <c r="AW10" i="21" s="1"/>
  <c r="H14" i="23" l="1"/>
  <c r="H9" i="23" l="1"/>
  <c r="E13" i="23" l="1"/>
  <c r="E12" i="23"/>
  <c r="E21" i="23" s="1"/>
  <c r="F21" i="23" s="1"/>
  <c r="J21" i="23" l="1"/>
  <c r="F48" i="22"/>
  <c r="F47" i="22"/>
  <c r="E47" i="22"/>
  <c r="F46" i="22"/>
  <c r="E46" i="22"/>
  <c r="B55" i="22"/>
  <c r="B56" i="22"/>
  <c r="B57" i="22"/>
  <c r="F44" i="19"/>
  <c r="L13" i="23" l="1"/>
  <c r="L14" i="23"/>
  <c r="L15" i="23"/>
  <c r="L16" i="23"/>
  <c r="L17" i="23"/>
  <c r="L18" i="23"/>
  <c r="L19" i="23"/>
  <c r="L20" i="23"/>
  <c r="I13" i="23"/>
  <c r="I14" i="23"/>
  <c r="I15" i="23"/>
  <c r="I16" i="23"/>
  <c r="I17" i="23"/>
  <c r="I18" i="23"/>
  <c r="I19" i="23"/>
  <c r="I20" i="23"/>
  <c r="F9" i="23" l="1"/>
  <c r="F11" i="23"/>
  <c r="F12" i="23"/>
  <c r="F13" i="23"/>
  <c r="G13" i="23" s="1"/>
  <c r="F14" i="23"/>
  <c r="G14" i="23" s="1"/>
  <c r="F15" i="23"/>
  <c r="G15" i="23" s="1"/>
  <c r="F16" i="23"/>
  <c r="G16" i="23" s="1"/>
  <c r="F17" i="23"/>
  <c r="G17" i="23" s="1"/>
  <c r="F18" i="23"/>
  <c r="G18" i="23" s="1"/>
  <c r="F19" i="23"/>
  <c r="G19" i="23" s="1"/>
  <c r="F20" i="23"/>
  <c r="G20" i="23" s="1"/>
  <c r="F8" i="23"/>
  <c r="H21" i="23" l="1"/>
  <c r="K21" i="23"/>
  <c r="C21" i="23"/>
  <c r="K52" i="22"/>
  <c r="I52" i="22"/>
  <c r="K22" i="23" l="1"/>
  <c r="K23" i="23" s="1"/>
  <c r="L22" i="23"/>
  <c r="G8" i="23"/>
  <c r="L8" i="23"/>
  <c r="I8" i="23"/>
  <c r="G9" i="23"/>
  <c r="L9" i="23"/>
  <c r="L10" i="23"/>
  <c r="I10" i="23"/>
  <c r="G11" i="23"/>
  <c r="L11" i="23"/>
  <c r="I11" i="23"/>
  <c r="L12" i="23"/>
  <c r="I12" i="23"/>
  <c r="I9" i="23"/>
  <c r="G12" i="23"/>
  <c r="F10" i="23"/>
  <c r="G10" i="23" s="1"/>
  <c r="L21" i="23"/>
  <c r="I21" i="23" l="1"/>
  <c r="G21" i="23"/>
  <c r="E44" i="19"/>
  <c r="F43" i="19"/>
  <c r="F42" i="19"/>
  <c r="H37" i="20" l="1"/>
  <c r="H38" i="20" s="1"/>
  <c r="H29" i="20"/>
  <c r="H9" i="20"/>
  <c r="H34" i="20"/>
  <c r="I33" i="20"/>
  <c r="I34" i="20" s="1"/>
  <c r="H17" i="20"/>
  <c r="H32" i="20"/>
  <c r="H12" i="20"/>
  <c r="H22" i="20"/>
  <c r="F9" i="20"/>
  <c r="D20" i="20"/>
  <c r="D16" i="20"/>
  <c r="D13" i="20"/>
  <c r="D19" i="20"/>
  <c r="D18" i="20"/>
  <c r="D23" i="20"/>
  <c r="H40" i="20" l="1"/>
  <c r="H39" i="20"/>
  <c r="E45" i="19" l="1"/>
  <c r="D21" i="20" l="1"/>
  <c r="F23" i="20"/>
  <c r="I50" i="19" l="1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5" i="19" s="1"/>
  <c r="A26" i="19" s="1"/>
  <c r="A27" i="19" s="1"/>
  <c r="A28" i="19" s="1"/>
  <c r="A29" i="19" s="1"/>
  <c r="A30" i="19" s="1"/>
  <c r="A31" i="19" s="1"/>
  <c r="K50" i="19" l="1"/>
  <c r="D8" i="20"/>
  <c r="D6" i="20"/>
  <c r="D15" i="20" l="1"/>
  <c r="C23" i="20" l="1"/>
  <c r="I24" i="20" l="1"/>
  <c r="I27" i="20"/>
  <c r="I28" i="20"/>
  <c r="F12" i="20"/>
  <c r="G9" i="20"/>
  <c r="F26" i="20"/>
  <c r="F28" i="20"/>
  <c r="D28" i="20"/>
  <c r="D26" i="20"/>
  <c r="D24" i="20"/>
  <c r="D31" i="20"/>
  <c r="D32" i="20" s="1"/>
  <c r="C32" i="20" s="1"/>
  <c r="D29" i="20" l="1"/>
  <c r="C29" i="20" s="1"/>
  <c r="I29" i="20"/>
  <c r="F29" i="20"/>
  <c r="C13" i="20" l="1"/>
  <c r="C30" i="20" l="1"/>
  <c r="I16" i="20"/>
  <c r="I15" i="20"/>
  <c r="I13" i="20"/>
  <c r="J52" i="22" l="1"/>
  <c r="H52" i="22" s="1"/>
  <c r="H45" i="22" s="1"/>
  <c r="C37" i="20"/>
  <c r="I37" i="20" s="1"/>
  <c r="I38" i="20" s="1"/>
  <c r="J50" i="19"/>
  <c r="H50" i="19" s="1"/>
  <c r="C18" i="20"/>
  <c r="I31" i="20"/>
  <c r="I30" i="20"/>
  <c r="I17" i="20"/>
  <c r="C10" i="20" l="1"/>
  <c r="I20" i="20"/>
  <c r="I19" i="20"/>
  <c r="I18" i="20"/>
  <c r="I32" i="20"/>
  <c r="G36" i="20"/>
  <c r="F36" i="20"/>
  <c r="E36" i="20"/>
  <c r="D36" i="20"/>
  <c r="C36" i="20" s="1"/>
  <c r="AJ71" i="21"/>
  <c r="AI71" i="21"/>
  <c r="AJ70" i="21"/>
  <c r="AI70" i="21"/>
  <c r="AJ69" i="21"/>
  <c r="AI69" i="21"/>
  <c r="AJ68" i="21"/>
  <c r="AI68" i="21"/>
  <c r="AJ67" i="21"/>
  <c r="AI67" i="21"/>
  <c r="AJ66" i="21"/>
  <c r="AI66" i="21"/>
  <c r="AJ65" i="21"/>
  <c r="AI65" i="21"/>
  <c r="AJ64" i="21"/>
  <c r="AI64" i="21"/>
  <c r="AJ63" i="21"/>
  <c r="AI63" i="21"/>
  <c r="AJ62" i="21"/>
  <c r="AI62" i="21"/>
  <c r="AJ61" i="21"/>
  <c r="AI61" i="21"/>
  <c r="AJ60" i="21"/>
  <c r="AI60" i="21"/>
  <c r="AJ59" i="21"/>
  <c r="AI59" i="21"/>
  <c r="AJ58" i="21"/>
  <c r="AI58" i="21"/>
  <c r="AJ57" i="21"/>
  <c r="AI57" i="21"/>
  <c r="AJ56" i="21"/>
  <c r="AI56" i="21"/>
  <c r="AJ55" i="21"/>
  <c r="AI55" i="21"/>
  <c r="AJ54" i="21"/>
  <c r="AI54" i="21"/>
  <c r="AJ53" i="21"/>
  <c r="AI53" i="21"/>
  <c r="AJ52" i="21"/>
  <c r="AI52" i="21"/>
  <c r="AJ51" i="21"/>
  <c r="AI51" i="21"/>
  <c r="AJ50" i="21"/>
  <c r="AI50" i="21"/>
  <c r="AJ49" i="21"/>
  <c r="AI49" i="21"/>
  <c r="AJ48" i="21"/>
  <c r="AI48" i="21"/>
  <c r="AJ47" i="21"/>
  <c r="AI47" i="21"/>
  <c r="AJ46" i="21"/>
  <c r="AI46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9" i="21"/>
  <c r="AI29" i="21"/>
  <c r="AJ28" i="21"/>
  <c r="AI28" i="21"/>
  <c r="AJ27" i="21"/>
  <c r="AI27" i="21"/>
  <c r="AJ26" i="21"/>
  <c r="AI26" i="21"/>
  <c r="AJ25" i="21"/>
  <c r="AI25" i="21"/>
  <c r="AJ24" i="21"/>
  <c r="AI24" i="21"/>
  <c r="AJ23" i="21"/>
  <c r="AI23" i="21"/>
  <c r="AJ22" i="21"/>
  <c r="AI22" i="21"/>
  <c r="AJ21" i="21"/>
  <c r="AI21" i="21"/>
  <c r="AJ20" i="21"/>
  <c r="AI20" i="21"/>
  <c r="AJ19" i="21"/>
  <c r="AI19" i="21"/>
  <c r="AJ18" i="21"/>
  <c r="AI18" i="21"/>
  <c r="AJ17" i="21"/>
  <c r="AI17" i="21"/>
  <c r="AJ16" i="21"/>
  <c r="AI16" i="21"/>
  <c r="AJ15" i="21"/>
  <c r="AI15" i="21"/>
  <c r="AJ14" i="21"/>
  <c r="AI14" i="21"/>
  <c r="AJ13" i="21"/>
  <c r="AI13" i="21"/>
  <c r="AJ12" i="21"/>
  <c r="AI12" i="21"/>
  <c r="AJ11" i="21"/>
  <c r="AI11" i="21"/>
  <c r="AI10" i="21"/>
  <c r="AJ10" i="21"/>
  <c r="I22" i="20" l="1"/>
  <c r="I11" i="20"/>
  <c r="I10" i="20"/>
  <c r="C6" i="20"/>
  <c r="I12" i="20" l="1"/>
  <c r="C39" i="20"/>
  <c r="I6" i="20"/>
  <c r="I9" i="20" s="1"/>
  <c r="I39" i="20" l="1"/>
  <c r="I40" i="20" s="1"/>
  <c r="F32" i="20" l="1"/>
  <c r="G38" i="20"/>
  <c r="F38" i="20"/>
  <c r="E38" i="20"/>
  <c r="D38" i="20"/>
  <c r="C38" i="20" s="1"/>
  <c r="G34" i="20"/>
  <c r="F34" i="20"/>
  <c r="D34" i="20"/>
  <c r="C34" i="20" s="1"/>
  <c r="G22" i="20"/>
  <c r="F22" i="20"/>
  <c r="G17" i="20"/>
  <c r="F17" i="20"/>
  <c r="F40" i="20" l="1"/>
  <c r="F39" i="20"/>
  <c r="D14" i="20"/>
  <c r="D17" i="20" s="1"/>
  <c r="C17" i="20" s="1"/>
  <c r="D7" i="20"/>
  <c r="D9" i="20" s="1"/>
  <c r="C9" i="20" l="1"/>
  <c r="D22" i="20"/>
  <c r="C22" i="20" s="1"/>
  <c r="E26" i="20"/>
  <c r="E15" i="19"/>
  <c r="E12" i="19"/>
  <c r="E10" i="19"/>
  <c r="E9" i="19"/>
  <c r="E33" i="20"/>
  <c r="E34" i="20" s="1"/>
  <c r="G31" i="20"/>
  <c r="E31" i="20"/>
  <c r="G30" i="20"/>
  <c r="E30" i="20"/>
  <c r="E25" i="20"/>
  <c r="E19" i="20"/>
  <c r="E13" i="20"/>
  <c r="G11" i="20"/>
  <c r="D10" i="20"/>
  <c r="D12" i="20" s="1"/>
  <c r="C12" i="20" s="1"/>
  <c r="E11" i="20"/>
  <c r="G32" i="20" l="1"/>
  <c r="E32" i="20"/>
  <c r="D39" i="20"/>
  <c r="E39" i="20" s="1"/>
  <c r="E42" i="19"/>
  <c r="C42" i="20" s="1"/>
  <c r="E43" i="19"/>
  <c r="C40" i="20"/>
  <c r="D40" i="20"/>
  <c r="E8" i="20"/>
  <c r="G39" i="20"/>
  <c r="G40" i="20" s="1"/>
  <c r="E6" i="20"/>
  <c r="E20" i="20"/>
  <c r="E24" i="20"/>
  <c r="G10" i="20"/>
  <c r="G12" i="20" s="1"/>
  <c r="E16" i="20"/>
  <c r="E15" i="20"/>
  <c r="E14" i="20"/>
  <c r="E18" i="20"/>
  <c r="G24" i="20"/>
  <c r="G28" i="20"/>
  <c r="G25" i="20"/>
  <c r="G23" i="20"/>
  <c r="G26" i="20"/>
  <c r="E7" i="20"/>
  <c r="E21" i="20"/>
  <c r="E23" i="20"/>
  <c r="E28" i="20"/>
  <c r="E10" i="20"/>
  <c r="E12" i="20" s="1"/>
  <c r="E17" i="20" l="1"/>
  <c r="H42" i="19"/>
  <c r="E9" i="20"/>
  <c r="E29" i="20"/>
  <c r="E22" i="20"/>
  <c r="C41" i="20"/>
  <c r="E40" i="20"/>
  <c r="G29" i="20"/>
</calcChain>
</file>

<file path=xl/comments1.xml><?xml version="1.0" encoding="utf-8"?>
<comments xmlns="http://schemas.openxmlformats.org/spreadsheetml/2006/main">
  <authors>
    <author>Автор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была упущена редакция от 01.06.2020!</t>
        </r>
      </text>
    </comment>
  </commentList>
</comments>
</file>

<file path=xl/sharedStrings.xml><?xml version="1.0" encoding="utf-8"?>
<sst xmlns="http://schemas.openxmlformats.org/spreadsheetml/2006/main" count="1202" uniqueCount="359">
  <si>
    <t xml:space="preserve">Этажность </t>
  </si>
  <si>
    <t>Конструктивные и технические характеристики многоквартирного дома</t>
  </si>
  <si>
    <t>Наличие инженерного оборудования  в многоквартирном доме</t>
  </si>
  <si>
    <t>мусоропровод</t>
  </si>
  <si>
    <t>лифт</t>
  </si>
  <si>
    <t>системы дымоудаления</t>
  </si>
  <si>
    <t xml:space="preserve"> отопление и горячая вода</t>
  </si>
  <si>
    <t>холодная вода</t>
  </si>
  <si>
    <t>электрическая энергия</t>
  </si>
  <si>
    <t>Уровень благоустройства жилого помещения</t>
  </si>
  <si>
    <t>со всеми видами благоустройства</t>
  </si>
  <si>
    <t>№ п.п.</t>
  </si>
  <si>
    <t>Материал стен</t>
  </si>
  <si>
    <t>Газифицикация жилого помещения</t>
  </si>
  <si>
    <t>кол (шт)</t>
  </si>
  <si>
    <t>Расходы, рублей в месяц (с учетом НДС)</t>
  </si>
  <si>
    <t>с частичным видами благоустройства (указать виды)</t>
  </si>
  <si>
    <t>Перечень и назначение помещений общего пользования</t>
  </si>
  <si>
    <t>Общий коридор на этажах</t>
  </si>
  <si>
    <t xml:space="preserve">Общая площадь жилых и нежилых помещений, кв.м
</t>
  </si>
  <si>
    <t>Адрес многоквартирного дома</t>
  </si>
  <si>
    <t>Протокол общего собрания собственников помещений в многоквартирном доме</t>
  </si>
  <si>
    <t>№</t>
  </si>
  <si>
    <t>дата</t>
  </si>
  <si>
    <t xml:space="preserve">дата начала </t>
  </si>
  <si>
    <t>в т.ч. обслуживание общедомовых приборов учета коммунальных ресурсов</t>
  </si>
  <si>
    <t>Срок действия размера платы, согласно Протоколу</t>
  </si>
  <si>
    <t>Сведения о наличие дополнительных работ и услуг, превышающих Минимальный перечень</t>
  </si>
  <si>
    <t xml:space="preserve">дата окончания </t>
  </si>
  <si>
    <t>-</t>
  </si>
  <si>
    <t>СМУП «Управляющая организация «Созидание»</t>
  </si>
  <si>
    <t>да</t>
  </si>
  <si>
    <t>1</t>
  </si>
  <si>
    <t>Примечания</t>
  </si>
  <si>
    <t>печное отопление</t>
  </si>
  <si>
    <t>Информация о принятом (установленном) размере платы за содержание жилого помещения, действующий до установления размера платы,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</si>
  <si>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Сведения о наличие дополнительных работ и услуг, превышающих Минимальный перечень, другой информации</t>
  </si>
  <si>
    <t xml:space="preserve"> Информация об устанавливаемом размере платы за содержание жилого помещения  </t>
  </si>
  <si>
    <t>Управляющая компания</t>
  </si>
  <si>
    <t>ООО «ЖКХ-Норд»</t>
  </si>
  <si>
    <t>МПЖРЭП Северодвинска</t>
  </si>
  <si>
    <t>АО «ПЖРЭП»</t>
  </si>
  <si>
    <t>ПРИЛОЖЕНИЕ к пояснительной записке</t>
  </si>
  <si>
    <t>Информация о принятом (установленном) размере платы за содержание жилого помещения, устанавливаемом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</si>
  <si>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Малая Кудьма улица, д. 13</t>
  </si>
  <si>
    <t>Комсомольская улица, д. 31</t>
  </si>
  <si>
    <t>Комсомольская улица, д. 33</t>
  </si>
  <si>
    <t>Комсомольская улица, д. 39</t>
  </si>
  <si>
    <t>Комсомольская улица, д. 5</t>
  </si>
  <si>
    <t>Полярная улица, д. 42</t>
  </si>
  <si>
    <t>Полярная улица, д. 44</t>
  </si>
  <si>
    <t>Юбилейная улица, д. 37</t>
  </si>
  <si>
    <t>Юбилейная улица, д. 23</t>
  </si>
  <si>
    <t>Юбилейная улица, д. 49/48</t>
  </si>
  <si>
    <t>Юбилейная улица, д. 65</t>
  </si>
  <si>
    <t xml:space="preserve">Размер платы за содержание жилого  помещения  (без учета ОДПУ)
</t>
  </si>
  <si>
    <t>к 18-рфэ (в т.ч. ОДПУ)</t>
  </si>
  <si>
    <t>к ранее действовавшему тарифу</t>
  </si>
  <si>
    <t>наличие</t>
  </si>
  <si>
    <t>площадь, м2</t>
  </si>
  <si>
    <t>Информация о наличии в МКД помещений, предоставленных нанимателям</t>
  </si>
  <si>
    <t>№ Постановления, устанавливающиего размер платы</t>
  </si>
  <si>
    <t>ООО «Развитие»</t>
  </si>
  <si>
    <t>ООО «ЖКХ-Север»</t>
  </si>
  <si>
    <t>АО «ЖКТ+»</t>
  </si>
  <si>
    <t>АО «Единство»</t>
  </si>
  <si>
    <t>Ленина проспект, д. 37</t>
  </si>
  <si>
    <t>Лесная улица, д. 53</t>
  </si>
  <si>
    <t>Лесная улица, д. 57/13</t>
  </si>
  <si>
    <t>Беломорский проспект, д. 57</t>
  </si>
  <si>
    <t>Ленина проспект, д. 43А</t>
  </si>
  <si>
    <t>Ленина проспект, д. 45А</t>
  </si>
  <si>
    <t>Южная улица, д. 8</t>
  </si>
  <si>
    <t>Железнодорожная улица, д. 42</t>
  </si>
  <si>
    <t>Пионерская улица, д. 41</t>
  </si>
  <si>
    <t>Ленина проспект, д. 41</t>
  </si>
  <si>
    <t>Чеснокова улица, д. 16</t>
  </si>
  <si>
    <t>Чеснокова улица, д. 18</t>
  </si>
  <si>
    <t>Южная улица, д. 18</t>
  </si>
  <si>
    <t>Беломорский проспект, д. 59</t>
  </si>
  <si>
    <t>Ломоносова улица, д. 5</t>
  </si>
  <si>
    <t>Южная улица, д. 28А</t>
  </si>
  <si>
    <t>Южная улица, д. 28Б</t>
  </si>
  <si>
    <t>Южная улица, д. 28В</t>
  </si>
  <si>
    <t>Южная улица, д. 18А</t>
  </si>
  <si>
    <t>АО «Открытие»</t>
  </si>
  <si>
    <t>АО «Стимул»</t>
  </si>
  <si>
    <t>АО «Жилищно-коммунальная организация «Побережье»</t>
  </si>
  <si>
    <t xml:space="preserve">Размер платы за содержание жилого  помещения 
(руб. за 1 кв. м занимаемой общей площади в месяц) действующий в 2018-2019 г.г.
</t>
  </si>
  <si>
    <t>Размер платы за содержание жилого  помещения, согласно 18-рфэ от 20.04.2018 (в т.ч. С ОДПУ)- для сравнения, информации</t>
  </si>
  <si>
    <t>Информация об ИЗМЕНЕНИИ размера платы</t>
  </si>
  <si>
    <t>СМУП «ЖКХ»</t>
  </si>
  <si>
    <t>ООО «Горизонт»</t>
  </si>
  <si>
    <t>ООО «ПЕГАС»</t>
  </si>
  <si>
    <t>СМУП «Жилищный трест»</t>
  </si>
  <si>
    <t>ООО «Новострой»</t>
  </si>
  <si>
    <t>СМУП ПЖКО «Ягры»</t>
  </si>
  <si>
    <t>ООО «Камбалица»</t>
  </si>
  <si>
    <t>ООО «Дюны»</t>
  </si>
  <si>
    <t>ООО «РОС»</t>
  </si>
  <si>
    <t>Постановление Администрации Северодвинска</t>
  </si>
  <si>
    <t xml:space="preserve">№ </t>
  </si>
  <si>
    <t>Количество МКД, указанных в Постановлении</t>
  </si>
  <si>
    <t>Количество МКД с покомнатным заселением, указанных в Постановлении</t>
  </si>
  <si>
    <t>Общее количество МКД под управлением УК (по данным УК)</t>
  </si>
  <si>
    <t xml:space="preserve">Количество МКД с положительным решением об установлении размера платы </t>
  </si>
  <si>
    <t>Количество МКД с отрицательным решением СС об установлении размера платы, где плата установлена АС</t>
  </si>
  <si>
    <t>шт</t>
  </si>
  <si>
    <t>%</t>
  </si>
  <si>
    <t>Прочие немуниципальные УК, ТСЖ и т.п.</t>
  </si>
  <si>
    <t>ИТОГО</t>
  </si>
  <si>
    <t>месяц с которого устанавливается тариф</t>
  </si>
  <si>
    <t xml:space="preserve">133-па </t>
  </si>
  <si>
    <t>165-па</t>
  </si>
  <si>
    <t>191-па</t>
  </si>
  <si>
    <t>209-па</t>
  </si>
  <si>
    <t>223-па</t>
  </si>
  <si>
    <t>232-па</t>
  </si>
  <si>
    <t>260-па</t>
  </si>
  <si>
    <t>261-па</t>
  </si>
  <si>
    <t>с 01.06.2019</t>
  </si>
  <si>
    <t>с 01.05.2019</t>
  </si>
  <si>
    <t>с 01.07.2019</t>
  </si>
  <si>
    <t>с 01.08.2019</t>
  </si>
  <si>
    <t xml:space="preserve">с 01.08.2019 </t>
  </si>
  <si>
    <t>"наниматели"</t>
  </si>
  <si>
    <t>ВСЕГО</t>
  </si>
  <si>
    <t>Категория проживающих в МКД</t>
  </si>
  <si>
    <t>Примечания:</t>
  </si>
  <si>
    <t>2.  В столбце "Категория проживающих в МКД", приняты следующие сокращенные наименования:</t>
  </si>
  <si>
    <t>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</si>
  <si>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>"наниматели"-</t>
  </si>
  <si>
    <t>"собственники и наниматели"</t>
  </si>
  <si>
    <t>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</si>
  <si>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>"собственники и наниматели"-</t>
  </si>
  <si>
    <t>284-па</t>
  </si>
  <si>
    <t>Школьная улица, д 10</t>
  </si>
  <si>
    <t>Рябиновая улица, д. 2</t>
  </si>
  <si>
    <t>Школьная улица, д 12</t>
  </si>
  <si>
    <t>Школьная улица, д 9</t>
  </si>
  <si>
    <t>Рябиновая улица, д. 3</t>
  </si>
  <si>
    <t>Рябиновая улица, д. 5</t>
  </si>
  <si>
    <t>Рябиновая улица, д. 7</t>
  </si>
  <si>
    <t>Рябиновая улица, д. 21</t>
  </si>
  <si>
    <t>Рябиновая улица, д. 23</t>
  </si>
  <si>
    <t>Станционная улица, д. 1</t>
  </si>
  <si>
    <t>Станционная улица, д. 6</t>
  </si>
  <si>
    <t>Станционная улица, д. 7</t>
  </si>
  <si>
    <t>Дачная улица, д. 8</t>
  </si>
  <si>
    <t>Белозерская улица, д. 1</t>
  </si>
  <si>
    <t>Белозерская улица, д. 2</t>
  </si>
  <si>
    <t>Белозерская улица, д. 3</t>
  </si>
  <si>
    <t>Белозерская улица, д. 5</t>
  </si>
  <si>
    <t>Белозерская улица, д. 11</t>
  </si>
  <si>
    <t>Белозерская улица, д. 15</t>
  </si>
  <si>
    <t>Белозерская улица, д. 17</t>
  </si>
  <si>
    <t>Белозерская улица, д. 23</t>
  </si>
  <si>
    <t>Белозерская улица, д. 30</t>
  </si>
  <si>
    <t>Озерная улица, д. 2</t>
  </si>
  <si>
    <t>Озерная улица, д. 6</t>
  </si>
  <si>
    <t>Озерная улица, д. 7</t>
  </si>
  <si>
    <t>Озерная улица, д. 9</t>
  </si>
  <si>
    <t>Озерная улица, д. 11</t>
  </si>
  <si>
    <t>Озерная улица, д. 12</t>
  </si>
  <si>
    <t>Озерная улица, д. 13</t>
  </si>
  <si>
    <t>Озерная улица, д. 14</t>
  </si>
  <si>
    <t>Озерная улица, д. 17</t>
  </si>
  <si>
    <t>Северодвинская улица, д. 8</t>
  </si>
  <si>
    <t>Северодвинская улица, д. 9</t>
  </si>
  <si>
    <t>Северодвинская улица, д. 10</t>
  </si>
  <si>
    <t>Северодвинская улица, д. 11</t>
  </si>
  <si>
    <t>Северодвинская улица, д. 12</t>
  </si>
  <si>
    <t>Северодвинская улица, д. 16</t>
  </si>
  <si>
    <t>Северодвинская улица, д. 17</t>
  </si>
  <si>
    <t>Северодвинская улица, д. 18</t>
  </si>
  <si>
    <t>Северодвинская улица, д. 19</t>
  </si>
  <si>
    <t>Северодвинская улица, д. 20</t>
  </si>
  <si>
    <t>Северодвинская улица, д. 24</t>
  </si>
  <si>
    <t>Северодвинская улица, д. 27</t>
  </si>
  <si>
    <t>Сосновая улица, д. 3</t>
  </si>
  <si>
    <t>Сосновая улица, д. 4</t>
  </si>
  <si>
    <t>Сосновая улица, д. 5</t>
  </si>
  <si>
    <t>Сосновая улица, д. 6</t>
  </si>
  <si>
    <t>Сосновая улица, д. 8</t>
  </si>
  <si>
    <t>Сосновая улица, д. 10</t>
  </si>
  <si>
    <t>Сосновая улица, д. 11</t>
  </si>
  <si>
    <t>Сосновая улица, д. 12</t>
  </si>
  <si>
    <t>Сосновая улица, д. 19</t>
  </si>
  <si>
    <t>Сосновая улица, д. 21</t>
  </si>
  <si>
    <t>Белозерская улица, д. 9</t>
  </si>
  <si>
    <t>Белозерская улица, д. 21</t>
  </si>
  <si>
    <t>Озерная улица, д. 8</t>
  </si>
  <si>
    <t>Северодвинская улица, д. 22</t>
  </si>
  <si>
    <t>Школьная улица, д. 1</t>
  </si>
  <si>
    <t>Рябиновая улица, д. 25</t>
  </si>
  <si>
    <t>Станционная улица, д. 3</t>
  </si>
  <si>
    <t>Белозерская улица, д. 7</t>
  </si>
  <si>
    <t>Белозерская улица, д. 19</t>
  </si>
  <si>
    <t>0</t>
  </si>
  <si>
    <t>доля, %</t>
  </si>
  <si>
    <t>центральное отпление</t>
  </si>
  <si>
    <t>по конкурсу, в расчет среднего не берем</t>
  </si>
  <si>
    <t>СМУП «Белое озеро»</t>
  </si>
  <si>
    <t>"по результатам конкурса и наниматели"</t>
  </si>
  <si>
    <t>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</si>
  <si>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с 01.09.2019</t>
  </si>
  <si>
    <t>311-па</t>
  </si>
  <si>
    <t>ООО «94 Квартал»</t>
  </si>
  <si>
    <t>327-па от 23.08.2019</t>
  </si>
  <si>
    <t>327-па</t>
  </si>
  <si>
    <t>Профсоюзная улица, д. 29</t>
  </si>
  <si>
    <t>Строителей улица, д. 32Б</t>
  </si>
  <si>
    <t>Полярная улица, д. 34А</t>
  </si>
  <si>
    <t>334-па</t>
  </si>
  <si>
    <t>333-па</t>
  </si>
  <si>
    <t>332-па</t>
  </si>
  <si>
    <t>352-па</t>
  </si>
  <si>
    <t>Количество МКД, где отсутствуют наниматели</t>
  </si>
  <si>
    <t xml:space="preserve">397-па </t>
  </si>
  <si>
    <t>с 01.11.2019</t>
  </si>
  <si>
    <t>357-па</t>
  </si>
  <si>
    <t>383-па</t>
  </si>
  <si>
    <t>410-па</t>
  </si>
  <si>
    <t>471-па</t>
  </si>
  <si>
    <t>443-па</t>
  </si>
  <si>
    <t>ООО «Движение»</t>
  </si>
  <si>
    <t>ТСЖ</t>
  </si>
  <si>
    <t>"по результатам конкурса и наниматели" (пос.Белое Озеро)</t>
  </si>
  <si>
    <t xml:space="preserve">"по результатам конкурса и наниматели" </t>
  </si>
  <si>
    <t>0 (изменение наименования УО)</t>
  </si>
  <si>
    <t>Итого, в т.ч.</t>
  </si>
  <si>
    <t>Информация по установлению размера платы за содержание жилого помещения</t>
  </si>
  <si>
    <t>Информация об ИЗМЕНЕНИИ размера платы к ранее действовавшему тарифу</t>
  </si>
  <si>
    <t>Информация об установленном Администрацией Северодвинска размере платы за содержание жилых помещений, по состоянию на __________.2020</t>
  </si>
  <si>
    <t>496-па</t>
  </si>
  <si>
    <t>с 01.01.2020</t>
  </si>
  <si>
    <t>497-па</t>
  </si>
  <si>
    <r>
      <t xml:space="preserve">1. Для справки-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1361</t>
    </r>
    <r>
      <rPr>
        <sz val="11"/>
        <color theme="1"/>
        <rFont val="Times New Roman"/>
        <family val="1"/>
        <charset val="204"/>
      </rPr>
      <t xml:space="preserve"> МКД.</t>
    </r>
  </si>
  <si>
    <t>с 01.12.2019</t>
  </si>
  <si>
    <t>ВСЕГО (с определенным размером платы)</t>
  </si>
  <si>
    <t>108-па</t>
  </si>
  <si>
    <t>"собственники и наниматели" по итогам конкурса</t>
  </si>
  <si>
    <t>154-па</t>
  </si>
  <si>
    <t>153-па</t>
  </si>
  <si>
    <t>№ п/п</t>
  </si>
  <si>
    <t>Наименование УО</t>
  </si>
  <si>
    <t>Кол-во МКД, всего</t>
  </si>
  <si>
    <t>Установлено АС по конкурсу</t>
  </si>
  <si>
    <t>Кол-во МКД, где установлен АС по среднему</t>
  </si>
  <si>
    <t>план</t>
  </si>
  <si>
    <t>факт</t>
  </si>
  <si>
    <t>ед.</t>
  </si>
  <si>
    <t>ООО "ЖКХ-Север, ООО " ЖКХ-Норд"</t>
  </si>
  <si>
    <t>СМУП "Белое озеро"</t>
  </si>
  <si>
    <t>ООО "Пегас"</t>
  </si>
  <si>
    <t>ООО "Синергия"</t>
  </si>
  <si>
    <t>ООО "УК "Лада"</t>
  </si>
  <si>
    <t>ООО "УО "Сармат"</t>
  </si>
  <si>
    <t>ООО "ЖЭК № 1"</t>
  </si>
  <si>
    <t>Всего</t>
  </si>
  <si>
    <t>183-па</t>
  </si>
  <si>
    <t xml:space="preserve">Кол-во МКД с положит.решением, в том числе индексация по договору управления </t>
  </si>
  <si>
    <t>наниматели</t>
  </si>
  <si>
    <t>нет нанимателей</t>
  </si>
  <si>
    <t>всего</t>
  </si>
  <si>
    <t>Группа компаний СМУП "УО "Созидание" (ООО «Развитие», АО «Стимул», ООО «Новострой», СМУП «Управляющая организация «Созидание»)</t>
  </si>
  <si>
    <t>Группа компаний СМУП "ЖКХ" (АО «Открытие», СМУП «ЖКХ», ООО «94 Квартал», ООО «РОС», ООО «Движение», ООО «Горизонт»)</t>
  </si>
  <si>
    <t>Группа компаний СМУП "ПЖКО "Ягры" (АО «Жилищно-коммунальная организация «Побережье», ООО «Камбалица», СМУП ПЖКО «Ягры», ООО «Дюны»)</t>
  </si>
  <si>
    <t>Группа компаний МПЖРЭП (МПЖРЭП Северодвинска, АО «ПЖРЭП», ООО "Фортуна")</t>
  </si>
  <si>
    <t>заносим сразу, по мере поступление протоколов</t>
  </si>
  <si>
    <t>нет нанимателей -</t>
  </si>
  <si>
    <t>есть наниматели + по конкурсу и по среднему -</t>
  </si>
  <si>
    <t>193-па</t>
  </si>
  <si>
    <t>153-па, 154-па, 241-па</t>
  </si>
  <si>
    <t>241-па</t>
  </si>
  <si>
    <t>3.1.</t>
  </si>
  <si>
    <t>09.10.2019
№383-па</t>
  </si>
  <si>
    <t>11.11.2019
№431-па</t>
  </si>
  <si>
    <t>Актуальные редакции (дата, №)</t>
  </si>
  <si>
    <t>24.01.2020 
№26-па</t>
  </si>
  <si>
    <t>Актуальные версии (дата, №)</t>
  </si>
  <si>
    <t>24.03.2020 
№137-па</t>
  </si>
  <si>
    <t>27.03.2020 
№152-па</t>
  </si>
  <si>
    <t>21.04.2020 
№193-па</t>
  </si>
  <si>
    <t>14.05.2020 
№229-па</t>
  </si>
  <si>
    <t>26.05.2020 
№251-па</t>
  </si>
  <si>
    <t>251-па</t>
  </si>
  <si>
    <t>Группа компаний СМУП "Жилищный трест" (АО «Единство», АО «ЖКТ+», СМУП «Жилищный трест»)</t>
  </si>
  <si>
    <r>
      <t xml:space="preserve">1. Для справки 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1361</t>
    </r>
    <r>
      <rPr>
        <sz val="11"/>
        <color theme="1"/>
        <rFont val="Times New Roman"/>
        <family val="1"/>
        <charset val="204"/>
      </rPr>
      <t xml:space="preserve"> МКД.</t>
    </r>
  </si>
  <si>
    <t xml:space="preserve"> - 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</si>
  <si>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 xml:space="preserve"> - 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</si>
  <si>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 xml:space="preserve"> - 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</si>
  <si>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153-па, 193-па, 251-па, 261-па</t>
  </si>
  <si>
    <t>303-па</t>
  </si>
  <si>
    <t>изменяет 191-па</t>
  </si>
  <si>
    <t>25.06.2020 
№303-па</t>
  </si>
  <si>
    <t>304-па</t>
  </si>
  <si>
    <t>306-па</t>
  </si>
  <si>
    <t>заносим после выхода постановления</t>
  </si>
  <si>
    <t>29.06.2020 
№308-па</t>
  </si>
  <si>
    <t>308-па</t>
  </si>
  <si>
    <t>изменяет 165-па</t>
  </si>
  <si>
    <t>229-па</t>
  </si>
  <si>
    <t>изменяет 
165-па и 232-па</t>
  </si>
  <si>
    <t>29.06.2020 
№311-па</t>
  </si>
  <si>
    <t>251-па, 261-па, 311-па</t>
  </si>
  <si>
    <t>313-па</t>
  </si>
  <si>
    <t>отменено 03.07.2020 
№313-па</t>
  </si>
  <si>
    <r>
      <rPr>
        <sz val="11"/>
        <color rgb="FF0000FF"/>
        <rFont val="Times New Roman"/>
        <family val="1"/>
        <charset val="204"/>
      </rPr>
      <t xml:space="preserve">Установленный договором управления </t>
    </r>
    <r>
      <rPr>
        <sz val="11"/>
        <color theme="1"/>
        <rFont val="Times New Roman"/>
        <family val="1"/>
        <charset val="204"/>
      </rPr>
      <t>размер платы, руб/ кв. м</t>
    </r>
  </si>
  <si>
    <t>31.07.2022
с ежегодной индексацией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</si>
  <si>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</t>
    </r>
  </si>
  <si>
    <t>Размер платы за содержание жилого  помещения (руб. за 1 кв. м занимаемой общей площади в месяц)</t>
  </si>
  <si>
    <t>Размер платы за содержание жилого  помещения (без стоимости услуг  по обращению с ТКО) с 01.01.2020, 
руб/ кв. м</t>
  </si>
  <si>
    <t>Стоимость исклю-чаемых услуг по обращению с ТКО, 
руб/ кв. м</t>
  </si>
  <si>
    <t>Управляющая организация</t>
  </si>
  <si>
    <t>313-па от 03.07.2020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</si>
  <si>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2, договор управления (индексация по ДУ)</t>
    </r>
  </si>
  <si>
    <t>Установленный размер платы за содержание жилого  помещения , 
руб/ кв. м</t>
  </si>
  <si>
    <t>326-па</t>
  </si>
  <si>
    <t>06.07.2020 № 318-па</t>
  </si>
  <si>
    <t>137-па</t>
  </si>
  <si>
    <t>изменяет 497-па</t>
  </si>
  <si>
    <t>152-па</t>
  </si>
  <si>
    <t>01.06.2020 
№261-па</t>
  </si>
  <si>
    <t>318-па</t>
  </si>
  <si>
    <t>в 352-па от 12.09.2019 с 01.09.2019  внесены изменения 383-па, 431-па\431-па внесение изменений - Юбилейная, 23\431-па от 11.11.2019 обр.pdf</t>
  </si>
  <si>
    <t>348-па</t>
  </si>
  <si>
    <t>31.07.2020 № 348-па</t>
  </si>
  <si>
    <t>(пос.Белое Озеро)-индексация</t>
  </si>
  <si>
    <t>04.09.2020 №385-па</t>
  </si>
  <si>
    <t>385-па</t>
  </si>
  <si>
    <t>108-па, 183-па, 251-па, 306-па, 318-па, 348-па, 385-па</t>
  </si>
  <si>
    <t>Отчет за 2020 год по состоянию на 01.09.2020</t>
  </si>
  <si>
    <t>23.10.2020                                            №427-па</t>
  </si>
  <si>
    <t>427-па</t>
  </si>
  <si>
    <t>304-па, 348-па, 427-па</t>
  </si>
  <si>
    <t xml:space="preserve">подготовлена новая редакция с 01.11.2020 (Созидание) </t>
  </si>
  <si>
    <t>подготовлена новая редакция с 01.12.2020 (Ягры)</t>
  </si>
  <si>
    <t>Подготовлена новая редакция с 01.10.2020 (Север, Норд)</t>
  </si>
  <si>
    <t>Подготовлена новая редакция с 01.11.2020 (Созидание)</t>
  </si>
  <si>
    <t>подготовлена новая редакция с 01.11.2020 (Жилищный трест)</t>
  </si>
  <si>
    <t>подготовлена новая редакция с 01.11.2020 (Созидание)</t>
  </si>
  <si>
    <t>утратил силу с 01.11.2020 (Созидание)</t>
  </si>
  <si>
    <t>подготовлена новая редакция с 01.11.2020 (жилищный трест)</t>
  </si>
  <si>
    <t>Размер платы предлагаемый УК, руб/ кв. м.</t>
  </si>
  <si>
    <t>Информация                      об ИЗМЕНЕНИИ СРЕДНЕГО размера платы к ранее действовавшему тарифу</t>
  </si>
  <si>
    <t>Информация                об ИЗМЕНЕНИИ размера платы к ранее действовавшему тарифу</t>
  </si>
  <si>
    <t>Приложение</t>
  </si>
  <si>
    <t>Размер платы                             за содержание жилого  помещения (без стоимости услуг  по обращению с ТКО),                                           с 01.01.2020                      руб/ кв. м</t>
  </si>
  <si>
    <t>Размер платы расчетом среднего значения, руб/ кв. м</t>
  </si>
  <si>
    <t>Ломоносова улица, д. 44А</t>
  </si>
  <si>
    <t>Постановление № 496-па от 19.12.2019</t>
  </si>
  <si>
    <t>с 2018 года</t>
  </si>
  <si>
    <t>АО "Единство"</t>
  </si>
  <si>
    <t>Кирилкина улица, д. 13 (кв. 1-171)</t>
  </si>
  <si>
    <t>Кирилкина улица, д. 13 (кв. 172-230)</t>
  </si>
  <si>
    <t xml:space="preserve">Информация об устанавливаемом с 01.03.2021 размере платы за содержание жилого помещения </t>
  </si>
  <si>
    <t>СМУП "Жилищный трест"</t>
  </si>
  <si>
    <t>Размер платы                  за содержание жилого  помещения, утверждаемый                 с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</si>
</sst>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trike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i/>
      <strike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9" tint="-0.24997711111789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0" fontId="2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406">
    <xf numFmtId="0" fontId="0" fillId="0" borderId="0" xfId="0"/>
    <xf numFmtId="0" fontId="7" fillId="0" borderId="13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10" fontId="6" fillId="8" borderId="19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10" fontId="6" fillId="8" borderId="13" xfId="0" applyNumberFormat="1" applyFont="1" applyFill="1" applyBorder="1" applyAlignment="1">
      <alignment horizontal="center" vertical="center" wrapText="1"/>
    </xf>
    <xf numFmtId="10" fontId="6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10" fontId="6" fillId="9" borderId="13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10" fontId="6" fillId="5" borderId="13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6" borderId="13" xfId="0" applyFont="1" applyFill="1" applyBorder="1" applyAlignment="1">
      <alignment horizontal="center" vertical="center" wrapText="1"/>
    </xf>
    <xf numFmtId="10" fontId="6" fillId="6" borderId="13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6" fillId="8" borderId="13" xfId="0" applyFont="1" applyFill="1" applyBorder="1" applyAlignment="1">
      <alignment horizontal="center" vertical="center" wrapText="1"/>
    </xf>
    <xf numFmtId="10" fontId="16" fillId="8" borderId="13" xfId="0" applyNumberFormat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0" fontId="16" fillId="5" borderId="13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10" fontId="16" fillId="3" borderId="13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10" fontId="16" fillId="6" borderId="13" xfId="0" applyNumberFormat="1" applyFont="1" applyFill="1" applyBorder="1" applyAlignment="1">
      <alignment horizontal="center" vertical="center" wrapText="1"/>
    </xf>
    <xf numFmtId="10" fontId="16" fillId="9" borderId="13" xfId="0" applyNumberFormat="1" applyFont="1" applyFill="1" applyBorder="1" applyAlignment="1">
      <alignment horizontal="center" vertical="center" wrapText="1"/>
    </xf>
    <xf numFmtId="10" fontId="6" fillId="10" borderId="13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10" fontId="16" fillId="10" borderId="13" xfId="0" applyNumberFormat="1" applyFont="1" applyFill="1" applyBorder="1" applyAlignment="1">
      <alignment horizontal="center" vertical="center" wrapText="1"/>
    </xf>
    <xf numFmtId="10" fontId="6" fillId="7" borderId="13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16" fillId="7" borderId="13" xfId="0" applyFont="1" applyFill="1" applyBorder="1" applyAlignment="1">
      <alignment horizontal="center" vertical="center" wrapText="1"/>
    </xf>
    <xf numFmtId="10" fontId="16" fillId="7" borderId="13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0" fontId="16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6" fillId="4" borderId="27" xfId="0" applyNumberFormat="1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8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23" xfId="2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vertical="center" wrapText="1"/>
      <protection locked="0"/>
    </xf>
    <xf numFmtId="0" fontId="1" fillId="0" borderId="30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9" fontId="6" fillId="8" borderId="20" xfId="3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9" fontId="6" fillId="9" borderId="14" xfId="3" applyFont="1" applyFill="1" applyBorder="1" applyAlignment="1">
      <alignment horizontal="center" vertical="center" wrapText="1"/>
    </xf>
    <xf numFmtId="9" fontId="6" fillId="5" borderId="14" xfId="3" applyFont="1" applyFill="1" applyBorder="1" applyAlignment="1">
      <alignment horizontal="center" vertical="center" wrapText="1"/>
    </xf>
    <xf numFmtId="9" fontId="6" fillId="10" borderId="14" xfId="3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9" fontId="16" fillId="10" borderId="14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 wrapText="1"/>
    </xf>
    <xf numFmtId="9" fontId="6" fillId="7" borderId="14" xfId="3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 wrapText="1"/>
    </xf>
    <xf numFmtId="9" fontId="6" fillId="3" borderId="14" xfId="3" applyFont="1" applyFill="1" applyBorder="1" applyAlignment="1">
      <alignment horizontal="center" vertical="center" wrapText="1"/>
    </xf>
    <xf numFmtId="9" fontId="16" fillId="3" borderId="14" xfId="3" applyFont="1" applyFill="1" applyBorder="1" applyAlignment="1">
      <alignment horizontal="center" vertical="center" wrapText="1"/>
    </xf>
    <xf numFmtId="9" fontId="6" fillId="6" borderId="14" xfId="3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9" fontId="16" fillId="6" borderId="14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 wrapText="1"/>
    </xf>
    <xf numFmtId="9" fontId="6" fillId="8" borderId="14" xfId="3" applyFont="1" applyFill="1" applyBorder="1" applyAlignment="1">
      <alignment horizontal="center" vertical="center" wrapText="1"/>
    </xf>
    <xf numFmtId="9" fontId="16" fillId="8" borderId="14" xfId="3" applyFont="1" applyFill="1" applyBorder="1" applyAlignment="1">
      <alignment horizontal="center" vertical="center" wrapText="1"/>
    </xf>
    <xf numFmtId="9" fontId="16" fillId="5" borderId="14" xfId="3" applyFont="1" applyFill="1" applyBorder="1" applyAlignment="1">
      <alignment horizontal="center" vertical="center" wrapText="1"/>
    </xf>
    <xf numFmtId="9" fontId="16" fillId="9" borderId="14" xfId="3" applyFont="1" applyFill="1" applyBorder="1" applyAlignment="1">
      <alignment horizontal="center" vertical="center" wrapText="1"/>
    </xf>
    <xf numFmtId="9" fontId="16" fillId="7" borderId="14" xfId="3" applyFont="1" applyFill="1" applyBorder="1" applyAlignment="1">
      <alignment horizontal="center" vertical="center" wrapText="1"/>
    </xf>
    <xf numFmtId="9" fontId="16" fillId="0" borderId="3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24" fillId="0" borderId="19" xfId="2" applyFont="1" applyFill="1" applyBorder="1" applyAlignment="1" applyProtection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4" fillId="0" borderId="13" xfId="2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10" fontId="2" fillId="0" borderId="0" xfId="0" applyNumberFormat="1" applyFont="1" applyFill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3" fillId="0" borderId="23" xfId="2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right" wrapText="1"/>
    </xf>
    <xf numFmtId="0" fontId="19" fillId="11" borderId="0" xfId="0" applyFont="1" applyFill="1" applyAlignment="1">
      <alignment wrapText="1"/>
    </xf>
    <xf numFmtId="1" fontId="19" fillId="11" borderId="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5" fillId="0" borderId="14" xfId="0" applyFont="1" applyFill="1" applyBorder="1" applyAlignment="1">
      <alignment vertical="center" wrapText="1"/>
    </xf>
    <xf numFmtId="14" fontId="1" fillId="0" borderId="19" xfId="0" applyNumberFormat="1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0" fillId="0" borderId="0" xfId="0" applyNumberFormat="1" applyAlignment="1">
      <alignment horizontal="center" vertical="center" wrapText="1"/>
    </xf>
    <xf numFmtId="14" fontId="31" fillId="0" borderId="19" xfId="0" applyNumberFormat="1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9" fillId="0" borderId="20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0" fillId="0" borderId="37" xfId="0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vertical="center" wrapText="1"/>
    </xf>
    <xf numFmtId="165" fontId="30" fillId="0" borderId="36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165" fontId="30" fillId="0" borderId="38" xfId="0" applyNumberFormat="1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14" fontId="1" fillId="0" borderId="13" xfId="0" applyNumberFormat="1" applyFont="1" applyFill="1" applyBorder="1" applyAlignment="1">
      <alignment horizontal="right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30" fillId="0" borderId="37" xfId="0" applyFont="1" applyFill="1" applyBorder="1" applyAlignment="1">
      <alignment horizontal="center" vertical="center" wrapText="1"/>
    </xf>
    <xf numFmtId="165" fontId="30" fillId="0" borderId="3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2" fontId="7" fillId="12" borderId="25" xfId="0" applyNumberFormat="1" applyFont="1" applyFill="1" applyBorder="1" applyAlignment="1">
      <alignment horizontal="center" vertical="center" wrapText="1"/>
    </xf>
    <xf numFmtId="2" fontId="7" fillId="12" borderId="26" xfId="0" applyNumberFormat="1" applyFont="1" applyFill="1" applyBorder="1" applyAlignment="1">
      <alignment horizontal="center" vertical="center" wrapText="1"/>
    </xf>
    <xf numFmtId="2" fontId="7" fillId="1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4" fillId="0" borderId="25" xfId="2" applyFont="1" applyFill="1" applyBorder="1" applyAlignment="1" applyProtection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0" fillId="0" borderId="36" xfId="0" applyFont="1" applyBorder="1" applyAlignment="1">
      <alignment horizontal="center" vertical="center" wrapText="1"/>
    </xf>
    <xf numFmtId="165" fontId="30" fillId="0" borderId="3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65" fontId="30" fillId="0" borderId="37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0" fillId="2" borderId="36" xfId="0" applyFont="1" applyFill="1" applyBorder="1" applyAlignment="1">
      <alignment horizontal="center" vertical="center" wrapText="1"/>
    </xf>
    <xf numFmtId="165" fontId="30" fillId="2" borderId="37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0" fillId="0" borderId="27" xfId="0" applyFont="1" applyFill="1" applyBorder="1" applyAlignment="1" applyProtection="1">
      <alignment horizontal="center" vertical="center" wrapText="1"/>
    </xf>
    <xf numFmtId="0" fontId="40" fillId="0" borderId="41" xfId="0" applyFont="1" applyFill="1" applyBorder="1" applyAlignment="1" applyProtection="1">
      <alignment horizontal="center" vertical="center" wrapText="1"/>
    </xf>
    <xf numFmtId="0" fontId="40" fillId="0" borderId="41" xfId="0" applyFont="1" applyFill="1" applyBorder="1" applyAlignment="1" applyProtection="1">
      <alignment horizontal="left" vertical="center" wrapText="1"/>
    </xf>
    <xf numFmtId="0" fontId="40" fillId="0" borderId="37" xfId="0" applyFont="1" applyFill="1" applyBorder="1" applyAlignment="1" applyProtection="1">
      <alignment horizontal="center" vertical="center" wrapText="1"/>
    </xf>
    <xf numFmtId="0" fontId="40" fillId="0" borderId="37" xfId="0" applyFont="1" applyFill="1" applyBorder="1" applyAlignment="1" applyProtection="1">
      <alignment horizontal="left" vertical="center" wrapText="1"/>
    </xf>
    <xf numFmtId="0" fontId="40" fillId="0" borderId="37" xfId="0" applyFont="1" applyBorder="1" applyAlignment="1">
      <alignment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vertical="center" wrapText="1"/>
    </xf>
    <xf numFmtId="0" fontId="40" fillId="0" borderId="41" xfId="0" applyFont="1" applyBorder="1" applyAlignment="1">
      <alignment horizontal="center" vertical="center" wrapText="1"/>
    </xf>
    <xf numFmtId="2" fontId="42" fillId="0" borderId="41" xfId="0" applyNumberFormat="1" applyFont="1" applyBorder="1" applyAlignment="1">
      <alignment horizontal="center" vertical="center" wrapText="1"/>
    </xf>
    <xf numFmtId="166" fontId="40" fillId="0" borderId="41" xfId="0" applyNumberFormat="1" applyFont="1" applyBorder="1" applyAlignment="1">
      <alignment horizontal="center" vertical="center" wrapText="1"/>
    </xf>
    <xf numFmtId="2" fontId="40" fillId="0" borderId="37" xfId="0" applyNumberFormat="1" applyFont="1" applyBorder="1" applyAlignment="1">
      <alignment horizontal="center" vertical="center" wrapText="1"/>
    </xf>
    <xf numFmtId="2" fontId="42" fillId="0" borderId="37" xfId="0" applyNumberFormat="1" applyFont="1" applyBorder="1" applyAlignment="1">
      <alignment horizontal="center" vertical="center" wrapText="1"/>
    </xf>
    <xf numFmtId="166" fontId="40" fillId="0" borderId="37" xfId="0" applyNumberFormat="1" applyFont="1" applyBorder="1" applyAlignment="1">
      <alignment horizontal="center" vertical="center" wrapText="1"/>
    </xf>
    <xf numFmtId="2" fontId="41" fillId="0" borderId="37" xfId="0" applyNumberFormat="1" applyFont="1" applyFill="1" applyBorder="1" applyAlignment="1" applyProtection="1">
      <alignment horizontal="center" vertical="center" wrapText="1"/>
    </xf>
    <xf numFmtId="0" fontId="42" fillId="0" borderId="27" xfId="0" applyFont="1" applyFill="1" applyBorder="1" applyAlignment="1" applyProtection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0" fontId="40" fillId="0" borderId="38" xfId="0" applyFont="1" applyFill="1" applyBorder="1" applyAlignment="1" applyProtection="1">
      <alignment horizontal="center" vertical="center" wrapText="1"/>
    </xf>
    <xf numFmtId="166" fontId="40" fillId="0" borderId="3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2" fontId="40" fillId="0" borderId="38" xfId="0" applyNumberFormat="1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32" fillId="0" borderId="2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9" fontId="16" fillId="4" borderId="27" xfId="0" applyNumberFormat="1" applyFont="1" applyFill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0" fontId="16" fillId="4" borderId="27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6" fillId="8" borderId="19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0" fillId="0" borderId="27" xfId="0" applyFont="1" applyFill="1" applyBorder="1" applyAlignment="1" applyProtection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</cellXfs>
  <cellStyles count="4">
    <cellStyle name="Excel Built-in Normal" xfId="1"/>
    <cellStyle name="Гиперссылка" xfId="2" builtinId="8"/>
    <cellStyle name="Обычный" xfId="0" builtinId="0"/>
    <cellStyle name="Процентный" xfId="3" builtinId="5"/>
  </cellStyles>
  <dxfs count="0"/>
  <tableStyles count="0" defaultTableStyle="TableStyleMedium9" defaultPivotStyle="PivotStyleLight16"/>
  <colors>
    <mruColors>
      <color rgb="FF00CCFF"/>
      <color rgb="FFFFFF99"/>
      <color rgb="FF66FFFF"/>
      <color rgb="FF0000FF"/>
      <color rgb="FFCCE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352-&#1087;&#1072;%20&#1086;&#1090;%2012.09.2019%20.pdf" TargetMode="External"/><Relationship Id="rId13" Type="http://schemas.openxmlformats.org/officeDocument/2006/relationships/hyperlink" Target="file:///C:\Users\samigulina\AppData\Local\Temp\311-&#1087;&#1072;%20&#1086;&#1090;%2013.08.2019%20&#1057;&#1086;&#1079;&#1080;&#1076;&#1072;&#1085;&#1080;&#1077;%20&#1085;&#1072;%20&#1087;&#1088;&#1072;&#1074;&#1086;&#1086;&#1090;&#1085;&#1086;&#1096;&#1077;&#1085;&#1080;&#1103;%20&#1089;%2001.08.2019\311-&#1087;&#1072;%20&#1086;&#1090;%2013.08.2019.pdf" TargetMode="External"/><Relationship Id="rId18" Type="http://schemas.openxmlformats.org/officeDocument/2006/relationships/hyperlink" Target="file:///C:\Users\samigulina\AppData\Local\Temp\223-&#1087;&#1072;%20&#1089;%2001.07.2019\223-&#1087;&#1072;.pdf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file:///C:\Users\samigulina\AppData\Local\Temp\397-&#1087;&#1072;%20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1%20&#1085;&#1086;&#1103;&#1073;&#1088;&#1103;%202019\397-&#1087;&#1072;%20&#1086;&#1090;%2017.10.2019%20&#1086;&#1090;%20&#1059;&#1069;.pdf" TargetMode="External"/><Relationship Id="rId21" Type="http://schemas.openxmlformats.org/officeDocument/2006/relationships/hyperlink" Target="file:///C:\Users\samigulina\AppData\Local\Temp\165-&#1087;&#1072;%20&#1089;%2001.06.2019\165-&#1087;&#1072;%20&#1086;&#1090;%2020.05.2019%20&#1086;&#1073;&#1088;&#1072;&#1073;&#1086;&#1090;&#1072;&#1085;&#1085;&#1099;&#1081;.pdf" TargetMode="External"/><Relationship Id="rId7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431-&#1087;&#1072;%20&#1074;&#1085;&#1077;&#1089;&#1077;&#1085;&#1080;&#1077;%20&#1080;&#1079;&#1084;&#1077;&#1085;&#1077;&#1085;&#1080;&#1081;%20-%20&#1070;&#1073;&#1080;&#1083;&#1077;&#1081;&#1085;&#1072;&#1103;,%2023\431-&#1087;&#1072;%20&#1086;&#1090;%2011.11.2019%20&#1086;&#1073;&#1088;.pdf" TargetMode="External"/><Relationship Id="rId12" Type="http://schemas.openxmlformats.org/officeDocument/2006/relationships/hyperlink" Target="file:///C:\Users\samigulina\AppData\Local\Temp\327-&#1087;&#1072;%20&#1086;&#1090;%2023.08.2019%20&#1085;&#1072;%20&#1087;&#1088;&#1072;&#1074;&#1086;&#1086;&#1090;&#1085;&#1086;&#1096;&#1077;&#1085;&#1080;&#1103;%20&#1089;%2001.08.2019%20&#1041;&#1077;&#1083;&#1086;&#1077;%20&#1086;&#1079;&#1077;&#1088;&#1086;\327-&#1087;&#1072;.pdf" TargetMode="External"/><Relationship Id="rId17" Type="http://schemas.openxmlformats.org/officeDocument/2006/relationships/hyperlink" Target="file:///C:\Users\samigulina\AppData\Local\Temp\232-&#1087;&#1072;%20-%20&#1085;&#1077;%20&#1087;&#1088;&#1080;&#1085;&#1103;&#1083;&#1080;%20&#1088;&#1077;&#1096;&#1077;&#1085;&#1080;&#1077;%20&#1086;%20&#1088;&#1072;&#1079;&#1084;&#1077;&#1088;&#1077;%20&#1087;&#1083;&#1072;&#1090;&#1099;%20&#1089;%2001.07.2019\232-&#1087;&#1072;%20&#1086;&#1090;%2026.06.2019.pdf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file:///C:\Users\samigulina\AppData\Local\Temp\443-&#1087;&#1072;%20&#1086;&#1090;%2015.11.2019%20&#1085;&#1077;%20&#1087;&#1088;&#1080;&#1085;&#1103;&#1090;&#1086;%20&#1088;&#1077;&#1096;&#1077;&#1085;&#1080;&#1077;,%20&#1089;%2001.12.2019\443-&#1087;&#1072;%20&#1086;&#1090;%2015.11.2019%20&#1086;&#1073;&#1088;.pdf" TargetMode="External"/><Relationship Id="rId16" Type="http://schemas.openxmlformats.org/officeDocument/2006/relationships/hyperlink" Target="file:///C:\Users\samigulina\AppData\Local\Temp\260-&#1087;&#1072;%20&#1057;&#1072;&#1088;&#1084;&#1072;&#1090;,%20&#1056;&#1054;&#1057;%20&#1089;%2001.07.2019\260-&#1087;&#1072;%20&#1086;&#1090;%2018.07.2019.pdf" TargetMode="External"/><Relationship Id="rId20" Type="http://schemas.openxmlformats.org/officeDocument/2006/relationships/hyperlink" Target="file:///C:\Users\samigulina\AppData\Local\Temp\191-&#1087;&#1072;%20&#1089;%2001.06.2019%20&#1076;&#1086;&#1087;&#1086;&#1083;&#1085;&#1080;&#1090;&#1077;&#1083;&#1100;&#1085;&#1086;\191-&#1087;&#1072;%20&#1089;%2001.06.2019.pdf" TargetMode="External"/><Relationship Id="rId1" Type="http://schemas.openxmlformats.org/officeDocument/2006/relationships/hyperlink" Target="file:///C:\Users\samigulina\AppData\Local\Temp\471-&#1087;&#1072;%20&#1086;&#1090;%2003.12.2019%20%20&#1085;&#1072;%20&#1087;&#1088;&#1072;&#1074;&#1086;&#1086;&#1090;&#1085;&#1086;&#1096;&#1077;&#1085;&#1080;&#1103;%20&#1089;%2001.11.2019\471-&#1087;&#1072;%20&#1086;&#1090;%2003.12.2019%20&#1086;&#1073;&#1088;.pdf" TargetMode="External"/><Relationship Id="rId6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&#1074;&#1085;&#1077;&#1089;&#1077;&#1085;&#1080;&#1077;%20&#1080;&#1079;&#1084;&#1077;&#1085;&#1077;&#1085;&#1080;&#1081;\383-&#1087;&#1072;%20&#1086;&#1090;%2009.10.2019.pdf" TargetMode="External"/><Relationship Id="rId11" Type="http://schemas.openxmlformats.org/officeDocument/2006/relationships/hyperlink" Target="file:///C:\Users\samigulina\AppData\Local\Temp\333-%20&#1087;&#1072;%20&#1089;%2001.08.2019\333-&#1087;&#1072;.pdf" TargetMode="External"/><Relationship Id="rId24" Type="http://schemas.openxmlformats.org/officeDocument/2006/relationships/hyperlink" Target="file:///C:\Users\samigulina\AppData\Local\Temp\497-&#1087;&#1072;%20&#1085;&#1072;%20&#1087;&#1088;&#1072;&#1074;&#1086;&#1086;&#1090;&#1085;&#1086;&#1096;&#1077;&#1085;&#1080;&#1103;%20&#1089;%2001.12.2019\497-&#1087;&#1072;%20&#1086;&#1090;%2019.12.2019%20&#1086;&#1073;&#1088;.pdf" TargetMode="External"/><Relationship Id="rId5" Type="http://schemas.openxmlformats.org/officeDocument/2006/relationships/hyperlink" Target="file:///C:\Users\samigulina\AppData\Local\Temp\357-&#1087;&#1072;%20&#1086;&#1090;%2017.09.2019%20&#1085;&#1072;%20&#1087;&#1088;&#1072;&#1074;&#1086;&#1086;&#1090;&#1085;&#1086;&#1096;&#1077;&#1085;&#1080;&#1103;%20&#1089;%2001.08.2019\357-&#1087;&#1072;%20&#1086;&#1090;%2017.09.2019%20&#1086;&#1073;&#1088;.pdf" TargetMode="External"/><Relationship Id="rId15" Type="http://schemas.openxmlformats.org/officeDocument/2006/relationships/hyperlink" Target="file:///C:\Users\samigulina\AppData\Local\Temp\261-%20&#1087;&#1072;%20&#1089;%2001.08.2019\261-&#1087;&#1072;%20&#1086;&#1090;%2018.07.2019.pdf" TargetMode="External"/><Relationship Id="rId23" Type="http://schemas.openxmlformats.org/officeDocument/2006/relationships/hyperlink" Target="file:///C:\Users\samigulina\AppData\Local\Temp\496-&#1087;&#1072;%20&#1085;&#1077;%20&#1087;&#1088;&#1080;&#1085;&#1103;&#1090;&#1086;%20&#1088;&#1077;&#1096;&#1077;&#1085;&#1080;&#1077;%20&#1089;%2001.01.2020\496-&#1087;&#1072;%20&#1086;&#1090;%2019.12.2019%20&#1086;&#1073;&#1088;.pdf" TargetMode="External"/><Relationship Id="rId10" Type="http://schemas.openxmlformats.org/officeDocument/2006/relationships/hyperlink" Target="file:///C:\Users\samigulina\AppData\Local\Temp\332-&#1087;&#1072;%20&#1089;%2001.09.2019\332-&#1087;&#1072;.pdf" TargetMode="External"/><Relationship Id="rId19" Type="http://schemas.openxmlformats.org/officeDocument/2006/relationships/hyperlink" Target="file:///C:\Users\samigulina\AppData\Local\Temp\209-&#1087;&#1072;%20&#1089;%2001.06.2019%20&#1076;&#1086;&#1087;&#1086;&#1083;&#1085;&#1080;&#1090;&#1077;&#1083;&#1100;&#1085;&#1086;%203%20&#1052;&#1050;&#1044;%20&#1054;&#1054;&#1054;%2094%20&#1050;&#1074;&#1072;&#1088;&#1090;&#1072;&#1083;\Post._N_209-pa_ot_10.06.19.pdf" TargetMode="External"/><Relationship Id="rId4" Type="http://schemas.openxmlformats.org/officeDocument/2006/relationships/hyperlink" Target="file:///C:\Users\samigulina\AppData\Local\Temp\410-&#1087;&#1072;%20%20&#1089;%2001.11.2019\410-&#1087;&#1072;%20&#1086;&#1090;%2023.10.2019.pdf" TargetMode="External"/><Relationship Id="rId9" Type="http://schemas.openxmlformats.org/officeDocument/2006/relationships/hyperlink" Target="file:///C:\Users\samigulina\AppData\Local\Temp\334-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01.09.2019\334-&#1087;&#1072;.pdf" TargetMode="External"/><Relationship Id="rId14" Type="http://schemas.openxmlformats.org/officeDocument/2006/relationships/hyperlink" Target="file:///C:\Users\samigulina\AppData\Local\Temp\284-&#1087;&#1072;%20-%20&#1085;&#1077;%20&#1087;&#1088;&#1080;&#1085;&#1103;&#1083;&#1080;%20&#1088;&#1077;&#1096;&#1077;&#1085;&#1080;&#1077;%20&#1086;%20&#1088;&#1072;&#1079;&#1084;&#1077;&#1088;&#1077;%20&#1087;&#1083;&#1072;&#1090;&#1099;%20&#1089;%2001.08.2019\284-&#1087;&#1072;%20&#1086;&#1090;%2030.07.2019.pdf" TargetMode="External"/><Relationship Id="rId22" Type="http://schemas.openxmlformats.org/officeDocument/2006/relationships/hyperlink" Target="file:///C:\Users\samigulina\AppData\Local\Temp\133-&#1087;&#1072;%20c%2001.05.2019\133-&#1087;&#1072;%20&#1086;&#1090;%2019.04.2019%20&#1086;&#1073;&#1088;&#1072;&#1073;&#1086;&#1090;&#1072;&#1085;&#1085;&#1099;&#1081;.pdf" TargetMode="External"/><Relationship Id="rId27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3" zoomScale="80" zoomScaleNormal="80" zoomScaleSheetLayoutView="91" workbookViewId="0">
      <pane xSplit="4" ySplit="7" topLeftCell="AF10" activePane="bottomRight" state="frozen"/>
      <selection activeCell="A3" sqref="A3"/>
      <selection pane="topRight" activeCell="E3" sqref="E3"/>
      <selection pane="bottomLeft" activeCell="A10" sqref="A10"/>
      <selection pane="bottomRight" activeCell="A10" sqref="A10"/>
    </sheetView>
  </sheetViews>
  <sheetFormatPr defaultColWidth="9.140625" defaultRowHeight="15" outlineLevelRow="1" outlineLevelCol="1" x14ac:dyDescent="0.25"/>
  <cols>
    <col min="1" max="1" width="5.28515625" style="9" customWidth="1"/>
    <col min="2" max="2" width="27.85546875" style="21" customWidth="1"/>
    <col min="3" max="3" width="10.7109375" style="9" customWidth="1"/>
    <col min="4" max="4" width="11.5703125" style="17" hidden="1" customWidth="1" outlineLevel="1"/>
    <col min="5" max="5" width="13.7109375" style="9" customWidth="1" collapsed="1"/>
    <col min="6" max="6" width="8.42578125" style="9" hidden="1" customWidth="1" outlineLevel="1"/>
    <col min="7" max="7" width="9.140625" style="9" hidden="1" customWidth="1" outlineLevel="1"/>
    <col min="8" max="8" width="6.42578125" style="9" hidden="1" customWidth="1" outlineLevel="1"/>
    <col min="9" max="9" width="9.140625" style="9" hidden="1" customWidth="1" outlineLevel="1"/>
    <col min="10" max="10" width="6.5703125" style="9" hidden="1" customWidth="1" outlineLevel="1"/>
    <col min="11" max="11" width="9.140625" style="9" hidden="1" customWidth="1" outlineLevel="1"/>
    <col min="12" max="12" width="11.42578125" style="22" hidden="1" customWidth="1" outlineLevel="1"/>
    <col min="13" max="13" width="12.140625" style="17" hidden="1" customWidth="1" outlineLevel="1"/>
    <col min="14" max="14" width="11.7109375" style="9" hidden="1" customWidth="1" outlineLevel="1"/>
    <col min="15" max="15" width="12.42578125" style="9" customWidth="1" collapsed="1"/>
    <col min="16" max="16" width="11.85546875" style="9" hidden="1" customWidth="1" outlineLevel="1"/>
    <col min="17" max="17" width="9" style="9" hidden="1" customWidth="1" outlineLevel="1"/>
    <col min="18" max="19" width="9.140625" style="9" hidden="1" customWidth="1" outlineLevel="1"/>
    <col min="20" max="20" width="9.7109375" style="9" hidden="1" customWidth="1" outlineLevel="1"/>
    <col min="21" max="21" width="14.42578125" style="10" hidden="1" customWidth="1" outlineLevel="1"/>
    <col min="22" max="22" width="14.42578125" style="11" hidden="1" customWidth="1" outlineLevel="1"/>
    <col min="23" max="23" width="12.28515625" style="11" hidden="1" customWidth="1" outlineLevel="1"/>
    <col min="24" max="24" width="14" style="11" hidden="1" customWidth="1" outlineLevel="1"/>
    <col min="25" max="25" width="33.28515625" style="11" hidden="1" customWidth="1" outlineLevel="1"/>
    <col min="26" max="26" width="32.28515625" style="17" hidden="1" customWidth="1" outlineLevel="1"/>
    <col min="27" max="27" width="14.42578125" style="9" customWidth="1" collapsed="1"/>
    <col min="28" max="28" width="16.5703125" style="9" customWidth="1"/>
    <col min="29" max="29" width="15.42578125" style="10" customWidth="1"/>
    <col min="30" max="30" width="11.85546875" style="11" customWidth="1"/>
    <col min="31" max="31" width="13.28515625" style="11" customWidth="1"/>
    <col min="32" max="32" width="12.5703125" style="11" customWidth="1"/>
    <col min="33" max="33" width="15.28515625" style="11" hidden="1" customWidth="1" outlineLevel="1"/>
    <col min="34" max="34" width="18.7109375" style="11" hidden="1" customWidth="1" outlineLevel="1"/>
    <col min="35" max="35" width="12.140625" style="9" customWidth="1" collapsed="1"/>
    <col min="36" max="36" width="11.42578125" style="9" customWidth="1"/>
    <col min="37" max="37" width="22" style="9" customWidth="1"/>
    <col min="38" max="38" width="7.42578125" style="9" customWidth="1"/>
    <col min="39" max="39" width="9.140625" style="9" customWidth="1"/>
    <col min="40" max="40" width="9.140625" style="9" hidden="1" customWidth="1" outlineLevel="1"/>
    <col min="41" max="41" width="12.85546875" style="17" customWidth="1" collapsed="1"/>
    <col min="42" max="42" width="11.7109375" style="17" customWidth="1"/>
    <col min="43" max="43" width="19.28515625" style="17" customWidth="1"/>
    <col min="44" max="44" width="15" style="17" customWidth="1"/>
    <col min="45" max="45" width="24.85546875" style="263" customWidth="1"/>
    <col min="46" max="46" width="10.85546875" style="263" bestFit="1" customWidth="1"/>
    <col min="47" max="47" width="11.85546875" style="263" bestFit="1" customWidth="1"/>
    <col min="48" max="48" width="13.5703125" style="263" customWidth="1"/>
    <col min="49" max="49" width="15.28515625" style="17" customWidth="1"/>
    <col min="50" max="50" width="24" style="17" customWidth="1"/>
    <col min="51" max="51" width="12.85546875" style="260" customWidth="1" collapsed="1"/>
    <col min="52" max="16384" width="9.140625" style="17"/>
  </cols>
  <sheetData>
    <row r="1" spans="1:51" hidden="1" outlineLevel="1" x14ac:dyDescent="0.25">
      <c r="B1" s="319"/>
      <c r="C1" s="320"/>
      <c r="D1" s="320"/>
      <c r="E1" s="320"/>
      <c r="U1" s="321"/>
      <c r="V1" s="320"/>
      <c r="W1" s="320"/>
      <c r="X1" s="320"/>
      <c r="AB1" s="322"/>
      <c r="AC1" s="320"/>
      <c r="AD1" s="320"/>
      <c r="AE1" s="320"/>
      <c r="AF1" s="320"/>
      <c r="AG1" s="9"/>
      <c r="AH1" s="9"/>
      <c r="AI1" s="323" t="s">
        <v>42</v>
      </c>
      <c r="AJ1" s="323"/>
      <c r="AK1" s="323"/>
    </row>
    <row r="2" spans="1:51" hidden="1" outlineLevel="1" x14ac:dyDescent="0.25"/>
    <row r="3" spans="1:51" collapsed="1" x14ac:dyDescent="0.25">
      <c r="B3" s="86" t="s">
        <v>37</v>
      </c>
      <c r="C3" s="11"/>
      <c r="D3" s="21"/>
      <c r="E3" s="11"/>
      <c r="U3" s="324"/>
      <c r="V3" s="319"/>
      <c r="W3" s="319"/>
      <c r="X3" s="319"/>
      <c r="Y3" s="322"/>
      <c r="AB3" s="323"/>
      <c r="AC3" s="323"/>
      <c r="AD3" s="323"/>
      <c r="AE3" s="323"/>
      <c r="AF3" s="323"/>
      <c r="AG3" s="322"/>
      <c r="AH3" s="322"/>
      <c r="AI3" s="323"/>
      <c r="AJ3" s="323"/>
      <c r="AK3" s="323"/>
    </row>
    <row r="4" spans="1:51" x14ac:dyDescent="0.25">
      <c r="A4" s="325"/>
      <c r="B4" s="326"/>
      <c r="C4" s="326"/>
      <c r="D4" s="320"/>
      <c r="E4" s="326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6"/>
      <c r="V4" s="326"/>
      <c r="W4" s="326"/>
      <c r="X4" s="326"/>
      <c r="Y4" s="320"/>
      <c r="Z4" s="320"/>
      <c r="AA4" s="11"/>
      <c r="AB4" s="322"/>
      <c r="AC4" s="322"/>
      <c r="AD4" s="322"/>
      <c r="AE4" s="322"/>
      <c r="AF4" s="322"/>
      <c r="AG4" s="322"/>
      <c r="AH4" s="322"/>
      <c r="AI4" s="322"/>
      <c r="AJ4" s="322"/>
      <c r="AK4" s="322"/>
    </row>
    <row r="5" spans="1:51" s="9" customFormat="1" ht="70.5" customHeight="1" x14ac:dyDescent="0.25">
      <c r="A5" s="327" t="s">
        <v>11</v>
      </c>
      <c r="B5" s="330" t="s">
        <v>20</v>
      </c>
      <c r="C5" s="330" t="s">
        <v>19</v>
      </c>
      <c r="D5" s="330" t="s">
        <v>55</v>
      </c>
      <c r="E5" s="330" t="s">
        <v>88</v>
      </c>
      <c r="F5" s="331" t="s">
        <v>25</v>
      </c>
      <c r="G5" s="330"/>
      <c r="H5" s="330"/>
      <c r="I5" s="330"/>
      <c r="J5" s="330"/>
      <c r="K5" s="330"/>
      <c r="L5" s="330" t="s">
        <v>1</v>
      </c>
      <c r="M5" s="330"/>
      <c r="N5" s="330"/>
      <c r="O5" s="332" t="s">
        <v>9</v>
      </c>
      <c r="P5" s="332"/>
      <c r="Q5" s="330" t="s">
        <v>2</v>
      </c>
      <c r="R5" s="330"/>
      <c r="S5" s="330"/>
      <c r="T5" s="338" t="s">
        <v>13</v>
      </c>
      <c r="U5" s="337" t="s">
        <v>35</v>
      </c>
      <c r="V5" s="337"/>
      <c r="W5" s="337"/>
      <c r="X5" s="337"/>
      <c r="Y5" s="333"/>
      <c r="Z5" s="339" t="s">
        <v>33</v>
      </c>
      <c r="AA5" s="332" t="s">
        <v>89</v>
      </c>
      <c r="AB5" s="337" t="s">
        <v>43</v>
      </c>
      <c r="AC5" s="330"/>
      <c r="AD5" s="330"/>
      <c r="AE5" s="330"/>
      <c r="AF5" s="330"/>
      <c r="AG5" s="331"/>
      <c r="AH5" s="343" t="s">
        <v>33</v>
      </c>
      <c r="AI5" s="345" t="s">
        <v>90</v>
      </c>
      <c r="AJ5" s="331"/>
      <c r="AK5" s="330" t="s">
        <v>38</v>
      </c>
      <c r="AL5" s="332" t="s">
        <v>60</v>
      </c>
      <c r="AM5" s="332"/>
      <c r="AN5" s="332"/>
      <c r="AO5" s="332" t="s">
        <v>61</v>
      </c>
      <c r="AP5" s="332" t="s">
        <v>311</v>
      </c>
      <c r="AQ5" s="332"/>
      <c r="AR5" s="332" t="s">
        <v>43</v>
      </c>
      <c r="AS5" s="332"/>
      <c r="AT5" s="332"/>
      <c r="AU5" s="332"/>
      <c r="AV5" s="332"/>
      <c r="AW5" s="346" t="s">
        <v>232</v>
      </c>
      <c r="AX5" s="332" t="s">
        <v>314</v>
      </c>
      <c r="AY5" s="332" t="s">
        <v>61</v>
      </c>
    </row>
    <row r="6" spans="1:51" s="9" customFormat="1" ht="25.5" customHeight="1" x14ac:dyDescent="0.25">
      <c r="A6" s="328"/>
      <c r="B6" s="330"/>
      <c r="C6" s="330"/>
      <c r="D6" s="330"/>
      <c r="E6" s="330"/>
      <c r="F6" s="331" t="s">
        <v>6</v>
      </c>
      <c r="G6" s="330"/>
      <c r="H6" s="330" t="s">
        <v>7</v>
      </c>
      <c r="I6" s="330"/>
      <c r="J6" s="330" t="s">
        <v>8</v>
      </c>
      <c r="K6" s="330"/>
      <c r="L6" s="330"/>
      <c r="M6" s="330"/>
      <c r="N6" s="330"/>
      <c r="O6" s="332"/>
      <c r="P6" s="332"/>
      <c r="Q6" s="330"/>
      <c r="R6" s="330"/>
      <c r="S6" s="330"/>
      <c r="T6" s="339"/>
      <c r="U6" s="337" t="s">
        <v>21</v>
      </c>
      <c r="V6" s="337"/>
      <c r="W6" s="337" t="s">
        <v>26</v>
      </c>
      <c r="X6" s="337"/>
      <c r="Y6" s="333" t="s">
        <v>27</v>
      </c>
      <c r="Z6" s="339"/>
      <c r="AA6" s="332"/>
      <c r="AB6" s="330" t="s">
        <v>308</v>
      </c>
      <c r="AC6" s="337" t="s">
        <v>21</v>
      </c>
      <c r="AD6" s="337"/>
      <c r="AE6" s="337" t="s">
        <v>26</v>
      </c>
      <c r="AF6" s="337"/>
      <c r="AG6" s="333" t="s">
        <v>36</v>
      </c>
      <c r="AH6" s="328"/>
      <c r="AI6" s="327" t="s">
        <v>56</v>
      </c>
      <c r="AJ6" s="327" t="s">
        <v>57</v>
      </c>
      <c r="AK6" s="330"/>
      <c r="AL6" s="332"/>
      <c r="AM6" s="332"/>
      <c r="AN6" s="332"/>
      <c r="AO6" s="332"/>
      <c r="AP6" s="332" t="s">
        <v>313</v>
      </c>
      <c r="AQ6" s="332" t="s">
        <v>312</v>
      </c>
      <c r="AR6" s="343" t="s">
        <v>317</v>
      </c>
      <c r="AS6" s="337" t="s">
        <v>21</v>
      </c>
      <c r="AT6" s="337"/>
      <c r="AU6" s="337" t="s">
        <v>26</v>
      </c>
      <c r="AV6" s="337"/>
      <c r="AW6" s="347"/>
      <c r="AX6" s="332"/>
      <c r="AY6" s="332"/>
    </row>
    <row r="7" spans="1:51" s="9" customFormat="1" ht="33" customHeight="1" x14ac:dyDescent="0.25">
      <c r="A7" s="328"/>
      <c r="B7" s="330"/>
      <c r="C7" s="330"/>
      <c r="D7" s="330"/>
      <c r="E7" s="330"/>
      <c r="F7" s="334" t="s">
        <v>14</v>
      </c>
      <c r="G7" s="327" t="s">
        <v>15</v>
      </c>
      <c r="H7" s="327" t="s">
        <v>14</v>
      </c>
      <c r="I7" s="327" t="s">
        <v>15</v>
      </c>
      <c r="J7" s="327" t="s">
        <v>14</v>
      </c>
      <c r="K7" s="327" t="s">
        <v>15</v>
      </c>
      <c r="L7" s="341" t="s">
        <v>0</v>
      </c>
      <c r="M7" s="327" t="s">
        <v>12</v>
      </c>
      <c r="N7" s="23" t="s">
        <v>17</v>
      </c>
      <c r="O7" s="327" t="s">
        <v>10</v>
      </c>
      <c r="P7" s="327" t="s">
        <v>16</v>
      </c>
      <c r="Q7" s="327" t="s">
        <v>3</v>
      </c>
      <c r="R7" s="327" t="s">
        <v>4</v>
      </c>
      <c r="S7" s="327" t="s">
        <v>5</v>
      </c>
      <c r="T7" s="339"/>
      <c r="U7" s="337"/>
      <c r="V7" s="337"/>
      <c r="W7" s="330"/>
      <c r="X7" s="330"/>
      <c r="Y7" s="333"/>
      <c r="Z7" s="339"/>
      <c r="AA7" s="332"/>
      <c r="AB7" s="330"/>
      <c r="AC7" s="337"/>
      <c r="AD7" s="337"/>
      <c r="AE7" s="330"/>
      <c r="AF7" s="330"/>
      <c r="AG7" s="333"/>
      <c r="AH7" s="328"/>
      <c r="AI7" s="328"/>
      <c r="AJ7" s="328"/>
      <c r="AK7" s="330"/>
      <c r="AL7" s="332"/>
      <c r="AM7" s="332"/>
      <c r="AN7" s="332"/>
      <c r="AO7" s="332"/>
      <c r="AP7" s="332"/>
      <c r="AQ7" s="332"/>
      <c r="AR7" s="328"/>
      <c r="AS7" s="337"/>
      <c r="AT7" s="337"/>
      <c r="AU7" s="330"/>
      <c r="AV7" s="330"/>
      <c r="AW7" s="347"/>
      <c r="AX7" s="332"/>
      <c r="AY7" s="332"/>
    </row>
    <row r="8" spans="1:51" ht="44.25" customHeight="1" x14ac:dyDescent="0.25">
      <c r="A8" s="329"/>
      <c r="B8" s="330"/>
      <c r="C8" s="330"/>
      <c r="D8" s="330"/>
      <c r="E8" s="330"/>
      <c r="F8" s="335"/>
      <c r="G8" s="329"/>
      <c r="H8" s="329"/>
      <c r="I8" s="329"/>
      <c r="J8" s="329"/>
      <c r="K8" s="329"/>
      <c r="L8" s="342"/>
      <c r="M8" s="329"/>
      <c r="N8" s="78" t="s">
        <v>18</v>
      </c>
      <c r="O8" s="329"/>
      <c r="P8" s="329"/>
      <c r="Q8" s="329"/>
      <c r="R8" s="329"/>
      <c r="S8" s="329"/>
      <c r="T8" s="340"/>
      <c r="U8" s="20" t="s">
        <v>22</v>
      </c>
      <c r="V8" s="77" t="s">
        <v>23</v>
      </c>
      <c r="W8" s="77" t="s">
        <v>24</v>
      </c>
      <c r="X8" s="77" t="s">
        <v>28</v>
      </c>
      <c r="Y8" s="333"/>
      <c r="Z8" s="339"/>
      <c r="AA8" s="332"/>
      <c r="AB8" s="330"/>
      <c r="AC8" s="20" t="s">
        <v>22</v>
      </c>
      <c r="AD8" s="77" t="s">
        <v>23</v>
      </c>
      <c r="AE8" s="77" t="s">
        <v>24</v>
      </c>
      <c r="AF8" s="77" t="s">
        <v>28</v>
      </c>
      <c r="AG8" s="333"/>
      <c r="AH8" s="344"/>
      <c r="AI8" s="329"/>
      <c r="AJ8" s="329"/>
      <c r="AK8" s="330"/>
      <c r="AL8" s="78" t="s">
        <v>58</v>
      </c>
      <c r="AM8" s="78" t="s">
        <v>199</v>
      </c>
      <c r="AN8" s="78" t="s">
        <v>59</v>
      </c>
      <c r="AO8" s="336"/>
      <c r="AP8" s="332"/>
      <c r="AQ8" s="332"/>
      <c r="AR8" s="344"/>
      <c r="AS8" s="20" t="s">
        <v>22</v>
      </c>
      <c r="AT8" s="265" t="s">
        <v>23</v>
      </c>
      <c r="AU8" s="265" t="s">
        <v>24</v>
      </c>
      <c r="AV8" s="265" t="s">
        <v>28</v>
      </c>
      <c r="AW8" s="347"/>
      <c r="AX8" s="332"/>
      <c r="AY8" s="336"/>
    </row>
    <row r="9" spans="1:51" s="9" customFormat="1" ht="16.5" customHeight="1" x14ac:dyDescent="0.25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  <c r="O9" s="87">
        <v>15</v>
      </c>
      <c r="P9" s="87">
        <v>16</v>
      </c>
      <c r="Q9" s="87">
        <v>17</v>
      </c>
      <c r="R9" s="87">
        <v>18</v>
      </c>
      <c r="S9" s="87">
        <v>19</v>
      </c>
      <c r="T9" s="87">
        <v>20</v>
      </c>
      <c r="U9" s="87">
        <v>21</v>
      </c>
      <c r="V9" s="87">
        <v>22</v>
      </c>
      <c r="W9" s="87">
        <v>23</v>
      </c>
      <c r="X9" s="87">
        <v>24</v>
      </c>
      <c r="Y9" s="87">
        <v>25</v>
      </c>
      <c r="Z9" s="87">
        <v>26</v>
      </c>
      <c r="AA9" s="87">
        <v>27</v>
      </c>
      <c r="AB9" s="87">
        <v>28</v>
      </c>
      <c r="AC9" s="87">
        <v>29</v>
      </c>
      <c r="AD9" s="87">
        <v>30</v>
      </c>
      <c r="AE9" s="87">
        <v>31</v>
      </c>
      <c r="AF9" s="87">
        <v>32</v>
      </c>
      <c r="AG9" s="87">
        <v>33</v>
      </c>
      <c r="AH9" s="87"/>
      <c r="AI9" s="87">
        <v>34</v>
      </c>
      <c r="AJ9" s="87">
        <v>35</v>
      </c>
      <c r="AK9" s="87">
        <v>36</v>
      </c>
      <c r="AL9" s="87">
        <v>37</v>
      </c>
      <c r="AM9" s="87">
        <v>38</v>
      </c>
      <c r="AN9" s="87">
        <v>39</v>
      </c>
      <c r="AO9" s="261"/>
      <c r="AP9" s="270"/>
      <c r="AQ9" s="271"/>
      <c r="AR9" s="261"/>
      <c r="AS9" s="264"/>
      <c r="AT9" s="264"/>
      <c r="AU9" s="264"/>
      <c r="AV9" s="264"/>
      <c r="AW9" s="261"/>
      <c r="AX9" s="261"/>
      <c r="AY9" s="261"/>
    </row>
    <row r="10" spans="1:51" s="79" customFormat="1" ht="43.5" customHeight="1" x14ac:dyDescent="0.25">
      <c r="A10" s="5">
        <v>1</v>
      </c>
      <c r="B10" s="88" t="s">
        <v>136</v>
      </c>
      <c r="C10" s="89">
        <v>428.3</v>
      </c>
      <c r="D10" s="90"/>
      <c r="E10" s="75">
        <v>17.28</v>
      </c>
      <c r="F10" s="90"/>
      <c r="G10" s="90"/>
      <c r="H10" s="90"/>
      <c r="I10" s="90"/>
      <c r="J10" s="90"/>
      <c r="K10" s="90"/>
      <c r="L10" s="95">
        <v>2</v>
      </c>
      <c r="M10" s="90"/>
      <c r="N10" s="90"/>
      <c r="O10" s="75" t="s">
        <v>200</v>
      </c>
      <c r="P10" s="90"/>
      <c r="Q10" s="90"/>
      <c r="R10" s="90"/>
      <c r="S10" s="90"/>
      <c r="T10" s="90"/>
      <c r="U10" s="91"/>
      <c r="V10" s="90"/>
      <c r="W10" s="90"/>
      <c r="X10" s="90"/>
      <c r="Y10" s="90"/>
      <c r="Z10" s="90"/>
      <c r="AA10" s="1">
        <v>11.18</v>
      </c>
      <c r="AB10" s="1">
        <v>17.28</v>
      </c>
      <c r="AC10" s="76" t="s">
        <v>310</v>
      </c>
      <c r="AD10" s="4">
        <v>43676</v>
      </c>
      <c r="AE10" s="223">
        <v>43678</v>
      </c>
      <c r="AF10" s="223" t="s">
        <v>309</v>
      </c>
      <c r="AG10" s="1" t="s">
        <v>201</v>
      </c>
      <c r="AH10" s="90"/>
      <c r="AI10" s="26">
        <f>AB10/AA10</f>
        <v>1.5456171735241504</v>
      </c>
      <c r="AJ10" s="26">
        <f>AB10/E10</f>
        <v>1</v>
      </c>
      <c r="AK10" s="1" t="s">
        <v>202</v>
      </c>
      <c r="AL10" s="1" t="s">
        <v>31</v>
      </c>
      <c r="AM10" s="5">
        <v>100</v>
      </c>
      <c r="AN10" s="90"/>
      <c r="AO10" s="266" t="s">
        <v>208</v>
      </c>
      <c r="AP10" s="273">
        <v>5.2</v>
      </c>
      <c r="AQ10" s="274">
        <f>AB10-AP10</f>
        <v>12.080000000000002</v>
      </c>
      <c r="AR10" s="267">
        <f t="shared" ref="AR10:AR41" si="0">ROUND(AQ10*1.03,2)</f>
        <v>12.44</v>
      </c>
      <c r="AS10" s="76" t="s">
        <v>316</v>
      </c>
      <c r="AT10" s="4">
        <v>43676</v>
      </c>
      <c r="AU10" s="223">
        <v>44044</v>
      </c>
      <c r="AV10" s="223" t="s">
        <v>309</v>
      </c>
      <c r="AW10" s="272">
        <f t="shared" ref="AW10:AW41" si="1">AR10/AQ10</f>
        <v>1.0298013245033111</v>
      </c>
      <c r="AX10" s="259" t="s">
        <v>202</v>
      </c>
      <c r="AY10" s="13" t="s">
        <v>315</v>
      </c>
    </row>
    <row r="11" spans="1:51" s="24" customFormat="1" ht="41.25" customHeight="1" x14ac:dyDescent="0.25">
      <c r="A11" s="5">
        <v>2</v>
      </c>
      <c r="B11" s="88" t="s">
        <v>137</v>
      </c>
      <c r="C11" s="89">
        <v>256.8</v>
      </c>
      <c r="D11" s="19"/>
      <c r="E11" s="75">
        <v>17.28</v>
      </c>
      <c r="F11" s="19"/>
      <c r="G11" s="19"/>
      <c r="H11" s="19"/>
      <c r="I11" s="19"/>
      <c r="J11" s="19"/>
      <c r="K11" s="19"/>
      <c r="L11" s="95">
        <v>2</v>
      </c>
      <c r="M11" s="19"/>
      <c r="N11" s="19"/>
      <c r="O11" s="75" t="s">
        <v>200</v>
      </c>
      <c r="P11" s="19"/>
      <c r="Q11" s="19"/>
      <c r="R11" s="19"/>
      <c r="S11" s="19"/>
      <c r="T11" s="19"/>
      <c r="U11" s="80"/>
      <c r="V11" s="81"/>
      <c r="W11" s="81"/>
      <c r="X11" s="81"/>
      <c r="Y11" s="82"/>
      <c r="Z11" s="83"/>
      <c r="AA11" s="1">
        <v>11.18</v>
      </c>
      <c r="AB11" s="75">
        <v>17.28</v>
      </c>
      <c r="AC11" s="76" t="s">
        <v>310</v>
      </c>
      <c r="AD11" s="4">
        <v>43676</v>
      </c>
      <c r="AE11" s="223">
        <v>43678</v>
      </c>
      <c r="AF11" s="223" t="s">
        <v>309</v>
      </c>
      <c r="AG11" s="1" t="s">
        <v>201</v>
      </c>
      <c r="AH11" s="82"/>
      <c r="AI11" s="26">
        <f t="shared" ref="AI11:AI71" si="2">AB11/AA11</f>
        <v>1.5456171735241504</v>
      </c>
      <c r="AJ11" s="26">
        <f t="shared" ref="AJ11:AJ71" si="3">AB11/E11</f>
        <v>1</v>
      </c>
      <c r="AK11" s="75" t="s">
        <v>202</v>
      </c>
      <c r="AL11" s="75" t="s">
        <v>31</v>
      </c>
      <c r="AM11" s="5">
        <v>100</v>
      </c>
      <c r="AN11" s="19"/>
      <c r="AO11" s="13" t="s">
        <v>208</v>
      </c>
      <c r="AP11" s="275">
        <v>5.2</v>
      </c>
      <c r="AQ11" s="275">
        <f t="shared" ref="AQ11:AQ66" si="4">AB11-AP11</f>
        <v>12.080000000000002</v>
      </c>
      <c r="AR11" s="267">
        <f t="shared" si="0"/>
        <v>12.44</v>
      </c>
      <c r="AS11" s="76" t="s">
        <v>316</v>
      </c>
      <c r="AT11" s="4">
        <v>43676</v>
      </c>
      <c r="AU11" s="223">
        <v>44044</v>
      </c>
      <c r="AV11" s="223" t="s">
        <v>309</v>
      </c>
      <c r="AW11" s="272">
        <f t="shared" si="1"/>
        <v>1.0298013245033111</v>
      </c>
      <c r="AX11" s="259" t="s">
        <v>202</v>
      </c>
      <c r="AY11" s="13" t="s">
        <v>315</v>
      </c>
    </row>
    <row r="12" spans="1:51" ht="41.25" customHeight="1" x14ac:dyDescent="0.25">
      <c r="A12" s="5">
        <v>3</v>
      </c>
      <c r="B12" s="88" t="s">
        <v>138</v>
      </c>
      <c r="C12" s="89">
        <v>266.8</v>
      </c>
      <c r="D12" s="75"/>
      <c r="E12" s="75">
        <v>17.28</v>
      </c>
      <c r="F12" s="75"/>
      <c r="G12" s="75"/>
      <c r="H12" s="16"/>
      <c r="I12" s="16"/>
      <c r="J12" s="75"/>
      <c r="K12" s="75"/>
      <c r="L12" s="95">
        <v>2</v>
      </c>
      <c r="M12" s="75"/>
      <c r="N12" s="75"/>
      <c r="O12" s="75" t="s">
        <v>200</v>
      </c>
      <c r="P12" s="75"/>
      <c r="Q12" s="75"/>
      <c r="R12" s="75"/>
      <c r="S12" s="75"/>
      <c r="T12" s="75"/>
      <c r="U12" s="25"/>
      <c r="V12" s="3"/>
      <c r="W12" s="7"/>
      <c r="X12" s="25"/>
      <c r="Y12" s="25"/>
      <c r="Z12" s="12"/>
      <c r="AA12" s="1">
        <v>11.18</v>
      </c>
      <c r="AB12" s="75">
        <v>17.28</v>
      </c>
      <c r="AC12" s="76" t="s">
        <v>310</v>
      </c>
      <c r="AD12" s="4">
        <v>43676</v>
      </c>
      <c r="AE12" s="223">
        <v>43678</v>
      </c>
      <c r="AF12" s="223" t="s">
        <v>309</v>
      </c>
      <c r="AG12" s="1" t="s">
        <v>201</v>
      </c>
      <c r="AH12" s="25"/>
      <c r="AI12" s="26">
        <f t="shared" si="2"/>
        <v>1.5456171735241504</v>
      </c>
      <c r="AJ12" s="26">
        <f t="shared" si="3"/>
        <v>1</v>
      </c>
      <c r="AK12" s="75" t="s">
        <v>202</v>
      </c>
      <c r="AL12" s="75" t="s">
        <v>31</v>
      </c>
      <c r="AM12" s="5">
        <v>100</v>
      </c>
      <c r="AN12" s="75"/>
      <c r="AO12" s="13" t="s">
        <v>208</v>
      </c>
      <c r="AP12" s="275">
        <v>5.2</v>
      </c>
      <c r="AQ12" s="275">
        <f t="shared" si="4"/>
        <v>12.080000000000002</v>
      </c>
      <c r="AR12" s="267">
        <f t="shared" si="0"/>
        <v>12.44</v>
      </c>
      <c r="AS12" s="76" t="s">
        <v>316</v>
      </c>
      <c r="AT12" s="4">
        <v>43676</v>
      </c>
      <c r="AU12" s="223">
        <v>44044</v>
      </c>
      <c r="AV12" s="223" t="s">
        <v>309</v>
      </c>
      <c r="AW12" s="272">
        <f t="shared" si="1"/>
        <v>1.0298013245033111</v>
      </c>
      <c r="AX12" s="259" t="s">
        <v>202</v>
      </c>
      <c r="AY12" s="13" t="s">
        <v>315</v>
      </c>
    </row>
    <row r="13" spans="1:51" ht="41.25" customHeight="1" x14ac:dyDescent="0.25">
      <c r="A13" s="5">
        <v>4</v>
      </c>
      <c r="B13" s="88" t="s">
        <v>139</v>
      </c>
      <c r="C13" s="89">
        <v>146.1</v>
      </c>
      <c r="D13" s="75"/>
      <c r="E13" s="75">
        <v>14.78</v>
      </c>
      <c r="F13" s="75"/>
      <c r="G13" s="75"/>
      <c r="H13" s="16"/>
      <c r="I13" s="16"/>
      <c r="J13" s="75"/>
      <c r="K13" s="75"/>
      <c r="L13" s="95">
        <v>1</v>
      </c>
      <c r="M13" s="75"/>
      <c r="N13" s="75"/>
      <c r="O13" s="75" t="s">
        <v>34</v>
      </c>
      <c r="P13" s="75"/>
      <c r="Q13" s="75"/>
      <c r="R13" s="75"/>
      <c r="S13" s="75"/>
      <c r="T13" s="75"/>
      <c r="U13" s="25"/>
      <c r="V13" s="3"/>
      <c r="W13" s="7"/>
      <c r="X13" s="25"/>
      <c r="Y13" s="25"/>
      <c r="Z13" s="12"/>
      <c r="AA13" s="75">
        <v>8.24</v>
      </c>
      <c r="AB13" s="75">
        <v>14.78</v>
      </c>
      <c r="AC13" s="76" t="s">
        <v>310</v>
      </c>
      <c r="AD13" s="4">
        <v>43676</v>
      </c>
      <c r="AE13" s="223">
        <v>43678</v>
      </c>
      <c r="AF13" s="223" t="s">
        <v>309</v>
      </c>
      <c r="AG13" s="1" t="s">
        <v>201</v>
      </c>
      <c r="AH13" s="25"/>
      <c r="AI13" s="26">
        <f t="shared" si="2"/>
        <v>1.7936893203883495</v>
      </c>
      <c r="AJ13" s="26">
        <f t="shared" si="3"/>
        <v>1</v>
      </c>
      <c r="AK13" s="75" t="s">
        <v>202</v>
      </c>
      <c r="AL13" s="75" t="s">
        <v>31</v>
      </c>
      <c r="AM13" s="5">
        <v>100</v>
      </c>
      <c r="AN13" s="75"/>
      <c r="AO13" s="13" t="s">
        <v>208</v>
      </c>
      <c r="AP13" s="275">
        <v>5.2</v>
      </c>
      <c r="AQ13" s="275">
        <f t="shared" si="4"/>
        <v>9.5799999999999983</v>
      </c>
      <c r="AR13" s="267">
        <f t="shared" si="0"/>
        <v>9.8699999999999992</v>
      </c>
      <c r="AS13" s="76" t="s">
        <v>316</v>
      </c>
      <c r="AT13" s="4">
        <v>43676</v>
      </c>
      <c r="AU13" s="223">
        <v>44044</v>
      </c>
      <c r="AV13" s="223" t="s">
        <v>309</v>
      </c>
      <c r="AW13" s="272">
        <f t="shared" si="1"/>
        <v>1.0302713987473906</v>
      </c>
      <c r="AX13" s="259" t="s">
        <v>202</v>
      </c>
      <c r="AY13" s="13" t="s">
        <v>315</v>
      </c>
    </row>
    <row r="14" spans="1:51" ht="41.25" customHeight="1" x14ac:dyDescent="0.25">
      <c r="A14" s="5">
        <v>5</v>
      </c>
      <c r="B14" s="88" t="s">
        <v>140</v>
      </c>
      <c r="C14" s="89">
        <v>86.9</v>
      </c>
      <c r="D14" s="75"/>
      <c r="E14" s="75">
        <v>14.78</v>
      </c>
      <c r="F14" s="75"/>
      <c r="G14" s="75"/>
      <c r="H14" s="16"/>
      <c r="I14" s="16"/>
      <c r="J14" s="75"/>
      <c r="K14" s="75"/>
      <c r="L14" s="95">
        <v>1</v>
      </c>
      <c r="M14" s="75"/>
      <c r="N14" s="75"/>
      <c r="O14" s="75" t="s">
        <v>34</v>
      </c>
      <c r="P14" s="75"/>
      <c r="Q14" s="75"/>
      <c r="R14" s="75"/>
      <c r="S14" s="75"/>
      <c r="T14" s="75"/>
      <c r="U14" s="25"/>
      <c r="V14" s="3"/>
      <c r="W14" s="7"/>
      <c r="X14" s="14"/>
      <c r="Y14" s="14"/>
      <c r="Z14" s="12"/>
      <c r="AA14" s="75">
        <v>8.24</v>
      </c>
      <c r="AB14" s="75">
        <v>14.78</v>
      </c>
      <c r="AC14" s="76" t="s">
        <v>310</v>
      </c>
      <c r="AD14" s="4">
        <v>43676</v>
      </c>
      <c r="AE14" s="223">
        <v>43678</v>
      </c>
      <c r="AF14" s="223" t="s">
        <v>309</v>
      </c>
      <c r="AG14" s="1" t="s">
        <v>201</v>
      </c>
      <c r="AH14" s="14"/>
      <c r="AI14" s="26">
        <f t="shared" si="2"/>
        <v>1.7936893203883495</v>
      </c>
      <c r="AJ14" s="26">
        <f t="shared" si="3"/>
        <v>1</v>
      </c>
      <c r="AK14" s="75" t="s">
        <v>202</v>
      </c>
      <c r="AL14" s="75" t="s">
        <v>31</v>
      </c>
      <c r="AM14" s="5">
        <v>47</v>
      </c>
      <c r="AN14" s="75"/>
      <c r="AO14" s="13" t="s">
        <v>208</v>
      </c>
      <c r="AP14" s="275">
        <v>5.2</v>
      </c>
      <c r="AQ14" s="275">
        <f t="shared" si="4"/>
        <v>9.5799999999999983</v>
      </c>
      <c r="AR14" s="267">
        <f t="shared" si="0"/>
        <v>9.8699999999999992</v>
      </c>
      <c r="AS14" s="76" t="s">
        <v>316</v>
      </c>
      <c r="AT14" s="4">
        <v>43676</v>
      </c>
      <c r="AU14" s="223">
        <v>44044</v>
      </c>
      <c r="AV14" s="223" t="s">
        <v>309</v>
      </c>
      <c r="AW14" s="272">
        <f t="shared" si="1"/>
        <v>1.0302713987473906</v>
      </c>
      <c r="AX14" s="259" t="s">
        <v>202</v>
      </c>
      <c r="AY14" s="13" t="s">
        <v>315</v>
      </c>
    </row>
    <row r="15" spans="1:51" ht="41.25" customHeight="1" x14ac:dyDescent="0.25">
      <c r="A15" s="5">
        <v>6</v>
      </c>
      <c r="B15" s="88" t="s">
        <v>141</v>
      </c>
      <c r="C15" s="89">
        <v>75.599999999999994</v>
      </c>
      <c r="D15" s="75"/>
      <c r="E15" s="75">
        <v>14.78</v>
      </c>
      <c r="F15" s="75"/>
      <c r="G15" s="75"/>
      <c r="H15" s="16"/>
      <c r="I15" s="16"/>
      <c r="J15" s="75"/>
      <c r="K15" s="75"/>
      <c r="L15" s="95">
        <v>1</v>
      </c>
      <c r="M15" s="75"/>
      <c r="N15" s="75"/>
      <c r="O15" s="75" t="s">
        <v>34</v>
      </c>
      <c r="P15" s="75"/>
      <c r="Q15" s="75"/>
      <c r="R15" s="75"/>
      <c r="S15" s="75"/>
      <c r="T15" s="75"/>
      <c r="U15" s="25"/>
      <c r="V15" s="3"/>
      <c r="W15" s="7"/>
      <c r="X15" s="14"/>
      <c r="Y15" s="7"/>
      <c r="Z15" s="12"/>
      <c r="AA15" s="75">
        <v>8.24</v>
      </c>
      <c r="AB15" s="75">
        <v>14.78</v>
      </c>
      <c r="AC15" s="76" t="s">
        <v>310</v>
      </c>
      <c r="AD15" s="4">
        <v>43676</v>
      </c>
      <c r="AE15" s="223">
        <v>43678</v>
      </c>
      <c r="AF15" s="223" t="s">
        <v>309</v>
      </c>
      <c r="AG15" s="1" t="s">
        <v>201</v>
      </c>
      <c r="AH15" s="7"/>
      <c r="AI15" s="26">
        <f t="shared" si="2"/>
        <v>1.7936893203883495</v>
      </c>
      <c r="AJ15" s="26">
        <f t="shared" si="3"/>
        <v>1</v>
      </c>
      <c r="AK15" s="75" t="s">
        <v>202</v>
      </c>
      <c r="AL15" s="75" t="s">
        <v>31</v>
      </c>
      <c r="AM15" s="5">
        <v>100</v>
      </c>
      <c r="AN15" s="75"/>
      <c r="AO15" s="13" t="s">
        <v>208</v>
      </c>
      <c r="AP15" s="275">
        <v>5.2</v>
      </c>
      <c r="AQ15" s="275">
        <f t="shared" si="4"/>
        <v>9.5799999999999983</v>
      </c>
      <c r="AR15" s="267">
        <f t="shared" si="0"/>
        <v>9.8699999999999992</v>
      </c>
      <c r="AS15" s="76" t="s">
        <v>316</v>
      </c>
      <c r="AT15" s="4">
        <v>43676</v>
      </c>
      <c r="AU15" s="223">
        <v>44044</v>
      </c>
      <c r="AV15" s="223" t="s">
        <v>309</v>
      </c>
      <c r="AW15" s="272">
        <f t="shared" si="1"/>
        <v>1.0302713987473906</v>
      </c>
      <c r="AX15" s="259" t="s">
        <v>202</v>
      </c>
      <c r="AY15" s="13" t="s">
        <v>315</v>
      </c>
    </row>
    <row r="16" spans="1:51" ht="41.25" customHeight="1" x14ac:dyDescent="0.25">
      <c r="A16" s="5">
        <v>7</v>
      </c>
      <c r="B16" s="88" t="s">
        <v>142</v>
      </c>
      <c r="C16" s="89">
        <v>76.2</v>
      </c>
      <c r="D16" s="75"/>
      <c r="E16" s="75">
        <v>14.78</v>
      </c>
      <c r="F16" s="75"/>
      <c r="G16" s="75"/>
      <c r="H16" s="16"/>
      <c r="I16" s="16"/>
      <c r="J16" s="75"/>
      <c r="K16" s="75"/>
      <c r="L16" s="95">
        <v>1</v>
      </c>
      <c r="M16" s="75"/>
      <c r="N16" s="75"/>
      <c r="O16" s="75" t="s">
        <v>34</v>
      </c>
      <c r="P16" s="75"/>
      <c r="Q16" s="75"/>
      <c r="R16" s="75"/>
      <c r="S16" s="75"/>
      <c r="T16" s="75"/>
      <c r="U16" s="25"/>
      <c r="V16" s="3"/>
      <c r="W16" s="7"/>
      <c r="X16" s="14"/>
      <c r="Y16" s="7"/>
      <c r="Z16" s="12"/>
      <c r="AA16" s="75">
        <v>8.24</v>
      </c>
      <c r="AB16" s="75">
        <v>14.78</v>
      </c>
      <c r="AC16" s="76" t="s">
        <v>310</v>
      </c>
      <c r="AD16" s="4">
        <v>43676</v>
      </c>
      <c r="AE16" s="223">
        <v>43678</v>
      </c>
      <c r="AF16" s="223" t="s">
        <v>309</v>
      </c>
      <c r="AG16" s="1" t="s">
        <v>201</v>
      </c>
      <c r="AH16" s="7"/>
      <c r="AI16" s="26">
        <f t="shared" si="2"/>
        <v>1.7936893203883495</v>
      </c>
      <c r="AJ16" s="26">
        <f t="shared" si="3"/>
        <v>1</v>
      </c>
      <c r="AK16" s="75" t="s">
        <v>202</v>
      </c>
      <c r="AL16" s="75" t="s">
        <v>31</v>
      </c>
      <c r="AM16" s="5">
        <v>100</v>
      </c>
      <c r="AN16" s="75"/>
      <c r="AO16" s="13" t="s">
        <v>208</v>
      </c>
      <c r="AP16" s="275">
        <v>5.2</v>
      </c>
      <c r="AQ16" s="275">
        <f t="shared" si="4"/>
        <v>9.5799999999999983</v>
      </c>
      <c r="AR16" s="267">
        <f t="shared" si="0"/>
        <v>9.8699999999999992</v>
      </c>
      <c r="AS16" s="76" t="s">
        <v>316</v>
      </c>
      <c r="AT16" s="4">
        <v>43676</v>
      </c>
      <c r="AU16" s="223">
        <v>44044</v>
      </c>
      <c r="AV16" s="223" t="s">
        <v>309</v>
      </c>
      <c r="AW16" s="272">
        <f t="shared" si="1"/>
        <v>1.0302713987473906</v>
      </c>
      <c r="AX16" s="259" t="s">
        <v>202</v>
      </c>
      <c r="AY16" s="13" t="s">
        <v>315</v>
      </c>
    </row>
    <row r="17" spans="1:51" ht="41.25" customHeight="1" x14ac:dyDescent="0.25">
      <c r="A17" s="5">
        <v>8</v>
      </c>
      <c r="B17" s="88" t="s">
        <v>143</v>
      </c>
      <c r="C17" s="89">
        <v>160.5</v>
      </c>
      <c r="D17" s="75"/>
      <c r="E17" s="75">
        <v>14.78</v>
      </c>
      <c r="F17" s="75"/>
      <c r="G17" s="75"/>
      <c r="H17" s="16"/>
      <c r="I17" s="16"/>
      <c r="J17" s="75"/>
      <c r="K17" s="75"/>
      <c r="L17" s="95">
        <v>1</v>
      </c>
      <c r="M17" s="75"/>
      <c r="N17" s="75"/>
      <c r="O17" s="75" t="s">
        <v>34</v>
      </c>
      <c r="P17" s="75"/>
      <c r="Q17" s="75"/>
      <c r="R17" s="75"/>
      <c r="S17" s="75"/>
      <c r="T17" s="75"/>
      <c r="U17" s="25"/>
      <c r="V17" s="3"/>
      <c r="W17" s="7"/>
      <c r="X17" s="14"/>
      <c r="Y17" s="7"/>
      <c r="Z17" s="12"/>
      <c r="AA17" s="75">
        <v>8.24</v>
      </c>
      <c r="AB17" s="75">
        <v>14.78</v>
      </c>
      <c r="AC17" s="76" t="s">
        <v>310</v>
      </c>
      <c r="AD17" s="4">
        <v>43676</v>
      </c>
      <c r="AE17" s="223">
        <v>43678</v>
      </c>
      <c r="AF17" s="223" t="s">
        <v>309</v>
      </c>
      <c r="AG17" s="1" t="s">
        <v>201</v>
      </c>
      <c r="AH17" s="7"/>
      <c r="AI17" s="26">
        <f t="shared" si="2"/>
        <v>1.7936893203883495</v>
      </c>
      <c r="AJ17" s="26">
        <f t="shared" si="3"/>
        <v>1</v>
      </c>
      <c r="AK17" s="75" t="s">
        <v>202</v>
      </c>
      <c r="AL17" s="75" t="s">
        <v>31</v>
      </c>
      <c r="AM17" s="5">
        <v>100</v>
      </c>
      <c r="AN17" s="75"/>
      <c r="AO17" s="13" t="s">
        <v>208</v>
      </c>
      <c r="AP17" s="275">
        <v>5.2</v>
      </c>
      <c r="AQ17" s="275">
        <f t="shared" si="4"/>
        <v>9.5799999999999983</v>
      </c>
      <c r="AR17" s="267">
        <f t="shared" si="0"/>
        <v>9.8699999999999992</v>
      </c>
      <c r="AS17" s="76" t="s">
        <v>316</v>
      </c>
      <c r="AT17" s="4">
        <v>43676</v>
      </c>
      <c r="AU17" s="223">
        <v>44044</v>
      </c>
      <c r="AV17" s="223" t="s">
        <v>309</v>
      </c>
      <c r="AW17" s="272">
        <f t="shared" si="1"/>
        <v>1.0302713987473906</v>
      </c>
      <c r="AX17" s="259" t="s">
        <v>202</v>
      </c>
      <c r="AY17" s="13" t="s">
        <v>315</v>
      </c>
    </row>
    <row r="18" spans="1:51" ht="41.25" customHeight="1" x14ac:dyDescent="0.25">
      <c r="A18" s="5">
        <v>9</v>
      </c>
      <c r="B18" s="88" t="s">
        <v>144</v>
      </c>
      <c r="C18" s="89">
        <v>101.5</v>
      </c>
      <c r="D18" s="75"/>
      <c r="E18" s="75">
        <v>14.78</v>
      </c>
      <c r="F18" s="75"/>
      <c r="G18" s="75"/>
      <c r="H18" s="16"/>
      <c r="I18" s="16"/>
      <c r="J18" s="75"/>
      <c r="K18" s="75"/>
      <c r="L18" s="95">
        <v>1</v>
      </c>
      <c r="M18" s="75"/>
      <c r="N18" s="75"/>
      <c r="O18" s="75" t="s">
        <v>34</v>
      </c>
      <c r="P18" s="75"/>
      <c r="Q18" s="75"/>
      <c r="R18" s="75"/>
      <c r="S18" s="75"/>
      <c r="T18" s="75"/>
      <c r="U18" s="25"/>
      <c r="V18" s="3"/>
      <c r="W18" s="7"/>
      <c r="X18" s="14"/>
      <c r="Y18" s="7"/>
      <c r="Z18" s="12"/>
      <c r="AA18" s="75">
        <v>8.24</v>
      </c>
      <c r="AB18" s="75">
        <v>14.78</v>
      </c>
      <c r="AC18" s="76" t="s">
        <v>310</v>
      </c>
      <c r="AD18" s="4">
        <v>43676</v>
      </c>
      <c r="AE18" s="223">
        <v>43678</v>
      </c>
      <c r="AF18" s="223" t="s">
        <v>309</v>
      </c>
      <c r="AG18" s="1" t="s">
        <v>201</v>
      </c>
      <c r="AH18" s="7"/>
      <c r="AI18" s="26">
        <f t="shared" si="2"/>
        <v>1.7936893203883495</v>
      </c>
      <c r="AJ18" s="26">
        <f t="shared" si="3"/>
        <v>1</v>
      </c>
      <c r="AK18" s="75" t="s">
        <v>202</v>
      </c>
      <c r="AL18" s="75" t="s">
        <v>31</v>
      </c>
      <c r="AM18" s="5">
        <v>100</v>
      </c>
      <c r="AN18" s="75"/>
      <c r="AO18" s="13" t="s">
        <v>208</v>
      </c>
      <c r="AP18" s="275">
        <v>5.2</v>
      </c>
      <c r="AQ18" s="275">
        <f t="shared" si="4"/>
        <v>9.5799999999999983</v>
      </c>
      <c r="AR18" s="267">
        <f t="shared" si="0"/>
        <v>9.8699999999999992</v>
      </c>
      <c r="AS18" s="76" t="s">
        <v>316</v>
      </c>
      <c r="AT18" s="4">
        <v>43676</v>
      </c>
      <c r="AU18" s="223">
        <v>44044</v>
      </c>
      <c r="AV18" s="223" t="s">
        <v>309</v>
      </c>
      <c r="AW18" s="272">
        <f t="shared" si="1"/>
        <v>1.0302713987473906</v>
      </c>
      <c r="AX18" s="259" t="s">
        <v>202</v>
      </c>
      <c r="AY18" s="13" t="s">
        <v>315</v>
      </c>
    </row>
    <row r="19" spans="1:51" ht="41.25" customHeight="1" x14ac:dyDescent="0.25">
      <c r="A19" s="5">
        <v>10</v>
      </c>
      <c r="B19" s="88" t="s">
        <v>145</v>
      </c>
      <c r="C19" s="89">
        <v>148.9</v>
      </c>
      <c r="D19" s="75"/>
      <c r="E19" s="75">
        <v>14.78</v>
      </c>
      <c r="F19" s="75"/>
      <c r="G19" s="75"/>
      <c r="H19" s="16"/>
      <c r="I19" s="16"/>
      <c r="J19" s="75"/>
      <c r="K19" s="75"/>
      <c r="L19" s="95">
        <v>1</v>
      </c>
      <c r="M19" s="75"/>
      <c r="N19" s="75"/>
      <c r="O19" s="75" t="s">
        <v>34</v>
      </c>
      <c r="P19" s="75"/>
      <c r="Q19" s="75"/>
      <c r="R19" s="75"/>
      <c r="S19" s="75"/>
      <c r="T19" s="75"/>
      <c r="U19" s="25"/>
      <c r="V19" s="3"/>
      <c r="W19" s="7"/>
      <c r="X19" s="14"/>
      <c r="Y19" s="7"/>
      <c r="Z19" s="12"/>
      <c r="AA19" s="75">
        <v>8.24</v>
      </c>
      <c r="AB19" s="75">
        <v>14.78</v>
      </c>
      <c r="AC19" s="76" t="s">
        <v>310</v>
      </c>
      <c r="AD19" s="4">
        <v>43676</v>
      </c>
      <c r="AE19" s="223">
        <v>43678</v>
      </c>
      <c r="AF19" s="223" t="s">
        <v>309</v>
      </c>
      <c r="AG19" s="1" t="s">
        <v>201</v>
      </c>
      <c r="AH19" s="7"/>
      <c r="AI19" s="26">
        <f t="shared" si="2"/>
        <v>1.7936893203883495</v>
      </c>
      <c r="AJ19" s="26">
        <f t="shared" si="3"/>
        <v>1</v>
      </c>
      <c r="AK19" s="75" t="s">
        <v>202</v>
      </c>
      <c r="AL19" s="75" t="s">
        <v>31</v>
      </c>
      <c r="AM19" s="5">
        <v>100</v>
      </c>
      <c r="AN19" s="75"/>
      <c r="AO19" s="13" t="s">
        <v>208</v>
      </c>
      <c r="AP19" s="275">
        <v>5.2</v>
      </c>
      <c r="AQ19" s="275">
        <f t="shared" si="4"/>
        <v>9.5799999999999983</v>
      </c>
      <c r="AR19" s="267">
        <f t="shared" si="0"/>
        <v>9.8699999999999992</v>
      </c>
      <c r="AS19" s="76" t="s">
        <v>316</v>
      </c>
      <c r="AT19" s="4">
        <v>43676</v>
      </c>
      <c r="AU19" s="223">
        <v>44044</v>
      </c>
      <c r="AV19" s="223" t="s">
        <v>309</v>
      </c>
      <c r="AW19" s="272">
        <f t="shared" si="1"/>
        <v>1.0302713987473906</v>
      </c>
      <c r="AX19" s="259" t="s">
        <v>202</v>
      </c>
      <c r="AY19" s="13" t="s">
        <v>315</v>
      </c>
    </row>
    <row r="20" spans="1:51" ht="41.25" customHeight="1" x14ac:dyDescent="0.25">
      <c r="A20" s="5">
        <v>11</v>
      </c>
      <c r="B20" s="88" t="s">
        <v>146</v>
      </c>
      <c r="C20" s="89">
        <v>62.4</v>
      </c>
      <c r="D20" s="75"/>
      <c r="E20" s="75">
        <v>14.78</v>
      </c>
      <c r="F20" s="75"/>
      <c r="G20" s="75"/>
      <c r="H20" s="16"/>
      <c r="I20" s="16"/>
      <c r="J20" s="75"/>
      <c r="K20" s="75"/>
      <c r="L20" s="95">
        <v>1</v>
      </c>
      <c r="M20" s="75"/>
      <c r="N20" s="75"/>
      <c r="O20" s="75" t="s">
        <v>34</v>
      </c>
      <c r="P20" s="75"/>
      <c r="Q20" s="75"/>
      <c r="R20" s="75"/>
      <c r="S20" s="75"/>
      <c r="T20" s="75"/>
      <c r="U20" s="25"/>
      <c r="V20" s="3"/>
      <c r="W20" s="7"/>
      <c r="X20" s="14"/>
      <c r="Y20" s="7"/>
      <c r="Z20" s="12"/>
      <c r="AA20" s="75">
        <v>8.24</v>
      </c>
      <c r="AB20" s="75">
        <v>14.78</v>
      </c>
      <c r="AC20" s="76" t="s">
        <v>310</v>
      </c>
      <c r="AD20" s="4">
        <v>43676</v>
      </c>
      <c r="AE20" s="223">
        <v>43678</v>
      </c>
      <c r="AF20" s="223" t="s">
        <v>309</v>
      </c>
      <c r="AG20" s="1" t="s">
        <v>201</v>
      </c>
      <c r="AH20" s="7"/>
      <c r="AI20" s="26">
        <f t="shared" si="2"/>
        <v>1.7936893203883495</v>
      </c>
      <c r="AJ20" s="26">
        <f t="shared" si="3"/>
        <v>1</v>
      </c>
      <c r="AK20" s="75" t="s">
        <v>202</v>
      </c>
      <c r="AL20" s="75" t="s">
        <v>31</v>
      </c>
      <c r="AM20" s="5">
        <v>100</v>
      </c>
      <c r="AN20" s="75"/>
      <c r="AO20" s="13" t="s">
        <v>208</v>
      </c>
      <c r="AP20" s="275">
        <v>5.2</v>
      </c>
      <c r="AQ20" s="275">
        <f t="shared" si="4"/>
        <v>9.5799999999999983</v>
      </c>
      <c r="AR20" s="267">
        <f t="shared" si="0"/>
        <v>9.8699999999999992</v>
      </c>
      <c r="AS20" s="76" t="s">
        <v>316</v>
      </c>
      <c r="AT20" s="4">
        <v>43676</v>
      </c>
      <c r="AU20" s="223">
        <v>44044</v>
      </c>
      <c r="AV20" s="223" t="s">
        <v>309</v>
      </c>
      <c r="AW20" s="272">
        <f t="shared" si="1"/>
        <v>1.0302713987473906</v>
      </c>
      <c r="AX20" s="259" t="s">
        <v>202</v>
      </c>
      <c r="AY20" s="13" t="s">
        <v>315</v>
      </c>
    </row>
    <row r="21" spans="1:51" ht="41.25" customHeight="1" x14ac:dyDescent="0.25">
      <c r="A21" s="5">
        <v>12</v>
      </c>
      <c r="B21" s="88" t="s">
        <v>147</v>
      </c>
      <c r="C21" s="89">
        <v>145.19999999999999</v>
      </c>
      <c r="D21" s="75"/>
      <c r="E21" s="75">
        <v>14.78</v>
      </c>
      <c r="F21" s="75"/>
      <c r="G21" s="75"/>
      <c r="H21" s="16"/>
      <c r="I21" s="16"/>
      <c r="J21" s="75"/>
      <c r="K21" s="75"/>
      <c r="L21" s="95">
        <v>1</v>
      </c>
      <c r="M21" s="75"/>
      <c r="N21" s="75"/>
      <c r="O21" s="75" t="s">
        <v>34</v>
      </c>
      <c r="P21" s="75"/>
      <c r="Q21" s="75"/>
      <c r="R21" s="75"/>
      <c r="S21" s="75"/>
      <c r="T21" s="75"/>
      <c r="U21" s="25"/>
      <c r="V21" s="3"/>
      <c r="W21" s="7"/>
      <c r="X21" s="85"/>
      <c r="Y21" s="7"/>
      <c r="Z21" s="12"/>
      <c r="AA21" s="75">
        <v>8.24</v>
      </c>
      <c r="AB21" s="75">
        <v>14.78</v>
      </c>
      <c r="AC21" s="76" t="s">
        <v>310</v>
      </c>
      <c r="AD21" s="4">
        <v>43676</v>
      </c>
      <c r="AE21" s="223">
        <v>43678</v>
      </c>
      <c r="AF21" s="223" t="s">
        <v>309</v>
      </c>
      <c r="AG21" s="1" t="s">
        <v>201</v>
      </c>
      <c r="AH21" s="7"/>
      <c r="AI21" s="26">
        <f t="shared" si="2"/>
        <v>1.7936893203883495</v>
      </c>
      <c r="AJ21" s="26">
        <f t="shared" si="3"/>
        <v>1</v>
      </c>
      <c r="AK21" s="75" t="s">
        <v>202</v>
      </c>
      <c r="AL21" s="75" t="s">
        <v>31</v>
      </c>
      <c r="AM21" s="5">
        <v>100</v>
      </c>
      <c r="AN21" s="75"/>
      <c r="AO21" s="13" t="s">
        <v>208</v>
      </c>
      <c r="AP21" s="275">
        <v>5.2</v>
      </c>
      <c r="AQ21" s="275">
        <f t="shared" si="4"/>
        <v>9.5799999999999983</v>
      </c>
      <c r="AR21" s="267">
        <f t="shared" si="0"/>
        <v>9.8699999999999992</v>
      </c>
      <c r="AS21" s="76" t="s">
        <v>316</v>
      </c>
      <c r="AT21" s="4">
        <v>43676</v>
      </c>
      <c r="AU21" s="223">
        <v>44044</v>
      </c>
      <c r="AV21" s="223" t="s">
        <v>309</v>
      </c>
      <c r="AW21" s="272">
        <f t="shared" si="1"/>
        <v>1.0302713987473906</v>
      </c>
      <c r="AX21" s="259" t="s">
        <v>202</v>
      </c>
      <c r="AY21" s="13" t="s">
        <v>315</v>
      </c>
    </row>
    <row r="22" spans="1:51" ht="41.25" customHeight="1" x14ac:dyDescent="0.25">
      <c r="A22" s="5">
        <v>13</v>
      </c>
      <c r="B22" s="88" t="s">
        <v>148</v>
      </c>
      <c r="C22" s="89">
        <v>76</v>
      </c>
      <c r="D22" s="75"/>
      <c r="E22" s="75">
        <v>14.78</v>
      </c>
      <c r="F22" s="75"/>
      <c r="G22" s="75"/>
      <c r="H22" s="16"/>
      <c r="I22" s="16"/>
      <c r="J22" s="75"/>
      <c r="K22" s="75"/>
      <c r="L22" s="95">
        <v>1</v>
      </c>
      <c r="M22" s="75"/>
      <c r="N22" s="75"/>
      <c r="O22" s="75" t="s">
        <v>34</v>
      </c>
      <c r="P22" s="75"/>
      <c r="Q22" s="75"/>
      <c r="R22" s="75"/>
      <c r="S22" s="75"/>
      <c r="T22" s="75"/>
      <c r="U22" s="25"/>
      <c r="V22" s="3"/>
      <c r="W22" s="7"/>
      <c r="X22" s="14"/>
      <c r="Y22" s="7"/>
      <c r="Z22" s="12"/>
      <c r="AA22" s="75">
        <v>8.24</v>
      </c>
      <c r="AB22" s="75">
        <v>14.78</v>
      </c>
      <c r="AC22" s="76" t="s">
        <v>310</v>
      </c>
      <c r="AD22" s="4">
        <v>43676</v>
      </c>
      <c r="AE22" s="223">
        <v>43678</v>
      </c>
      <c r="AF22" s="223" t="s">
        <v>309</v>
      </c>
      <c r="AG22" s="1" t="s">
        <v>201</v>
      </c>
      <c r="AH22" s="7"/>
      <c r="AI22" s="26">
        <f t="shared" si="2"/>
        <v>1.7936893203883495</v>
      </c>
      <c r="AJ22" s="26">
        <f t="shared" si="3"/>
        <v>1</v>
      </c>
      <c r="AK22" s="75" t="s">
        <v>202</v>
      </c>
      <c r="AL22" s="75" t="s">
        <v>31</v>
      </c>
      <c r="AM22" s="5">
        <v>100</v>
      </c>
      <c r="AN22" s="75"/>
      <c r="AO22" s="13" t="s">
        <v>208</v>
      </c>
      <c r="AP22" s="275">
        <v>5.2</v>
      </c>
      <c r="AQ22" s="275">
        <f t="shared" si="4"/>
        <v>9.5799999999999983</v>
      </c>
      <c r="AR22" s="267">
        <f t="shared" si="0"/>
        <v>9.8699999999999992</v>
      </c>
      <c r="AS22" s="76" t="s">
        <v>316</v>
      </c>
      <c r="AT22" s="4">
        <v>43676</v>
      </c>
      <c r="AU22" s="223">
        <v>44044</v>
      </c>
      <c r="AV22" s="223" t="s">
        <v>309</v>
      </c>
      <c r="AW22" s="272">
        <f t="shared" si="1"/>
        <v>1.0302713987473906</v>
      </c>
      <c r="AX22" s="259" t="s">
        <v>202</v>
      </c>
      <c r="AY22" s="13" t="s">
        <v>315</v>
      </c>
    </row>
    <row r="23" spans="1:51" ht="41.25" customHeight="1" x14ac:dyDescent="0.25">
      <c r="A23" s="5">
        <v>14</v>
      </c>
      <c r="B23" s="88" t="s">
        <v>149</v>
      </c>
      <c r="C23" s="89">
        <v>102.2</v>
      </c>
      <c r="D23" s="75"/>
      <c r="E23" s="75">
        <v>14.78</v>
      </c>
      <c r="F23" s="75"/>
      <c r="G23" s="75"/>
      <c r="H23" s="16"/>
      <c r="I23" s="16"/>
      <c r="J23" s="75"/>
      <c r="K23" s="75"/>
      <c r="L23" s="95">
        <v>1</v>
      </c>
      <c r="M23" s="75"/>
      <c r="N23" s="75"/>
      <c r="O23" s="75" t="s">
        <v>34</v>
      </c>
      <c r="P23" s="75"/>
      <c r="Q23" s="75"/>
      <c r="R23" s="75"/>
      <c r="S23" s="75"/>
      <c r="T23" s="75"/>
      <c r="U23" s="25"/>
      <c r="V23" s="3"/>
      <c r="W23" s="7"/>
      <c r="X23" s="14"/>
      <c r="Y23" s="7"/>
      <c r="Z23" s="12"/>
      <c r="AA23" s="75">
        <v>8.24</v>
      </c>
      <c r="AB23" s="75">
        <v>14.78</v>
      </c>
      <c r="AC23" s="76" t="s">
        <v>310</v>
      </c>
      <c r="AD23" s="4">
        <v>43676</v>
      </c>
      <c r="AE23" s="223">
        <v>43678</v>
      </c>
      <c r="AF23" s="223" t="s">
        <v>309</v>
      </c>
      <c r="AG23" s="1" t="s">
        <v>201</v>
      </c>
      <c r="AH23" s="7"/>
      <c r="AI23" s="26">
        <f t="shared" si="2"/>
        <v>1.7936893203883495</v>
      </c>
      <c r="AJ23" s="26">
        <f t="shared" si="3"/>
        <v>1</v>
      </c>
      <c r="AK23" s="75" t="s">
        <v>202</v>
      </c>
      <c r="AL23" s="75" t="s">
        <v>31</v>
      </c>
      <c r="AM23" s="5">
        <v>100</v>
      </c>
      <c r="AN23" s="75"/>
      <c r="AO23" s="13" t="s">
        <v>208</v>
      </c>
      <c r="AP23" s="275">
        <v>5.2</v>
      </c>
      <c r="AQ23" s="275">
        <f t="shared" si="4"/>
        <v>9.5799999999999983</v>
      </c>
      <c r="AR23" s="267">
        <f t="shared" si="0"/>
        <v>9.8699999999999992</v>
      </c>
      <c r="AS23" s="76" t="s">
        <v>316</v>
      </c>
      <c r="AT23" s="4">
        <v>43676</v>
      </c>
      <c r="AU23" s="223">
        <v>44044</v>
      </c>
      <c r="AV23" s="223" t="s">
        <v>309</v>
      </c>
      <c r="AW23" s="272">
        <f t="shared" si="1"/>
        <v>1.0302713987473906</v>
      </c>
      <c r="AX23" s="259" t="s">
        <v>202</v>
      </c>
      <c r="AY23" s="13" t="s">
        <v>315</v>
      </c>
    </row>
    <row r="24" spans="1:51" ht="41.25" customHeight="1" x14ac:dyDescent="0.25">
      <c r="A24" s="5">
        <v>15</v>
      </c>
      <c r="B24" s="88" t="s">
        <v>150</v>
      </c>
      <c r="C24" s="89">
        <v>71.400000000000006</v>
      </c>
      <c r="D24" s="75"/>
      <c r="E24" s="75">
        <v>14.78</v>
      </c>
      <c r="F24" s="75"/>
      <c r="G24" s="75"/>
      <c r="H24" s="16"/>
      <c r="I24" s="16"/>
      <c r="J24" s="75"/>
      <c r="K24" s="75"/>
      <c r="L24" s="95">
        <v>1</v>
      </c>
      <c r="M24" s="75"/>
      <c r="N24" s="75"/>
      <c r="O24" s="75" t="s">
        <v>34</v>
      </c>
      <c r="P24" s="75"/>
      <c r="Q24" s="75"/>
      <c r="R24" s="75"/>
      <c r="S24" s="75"/>
      <c r="T24" s="75"/>
      <c r="U24" s="25"/>
      <c r="V24" s="3"/>
      <c r="W24" s="7"/>
      <c r="X24" s="14"/>
      <c r="Y24" s="7"/>
      <c r="Z24" s="12"/>
      <c r="AA24" s="75">
        <v>8.24</v>
      </c>
      <c r="AB24" s="75">
        <v>14.78</v>
      </c>
      <c r="AC24" s="76" t="s">
        <v>310</v>
      </c>
      <c r="AD24" s="4">
        <v>43676</v>
      </c>
      <c r="AE24" s="223">
        <v>43678</v>
      </c>
      <c r="AF24" s="223" t="s">
        <v>309</v>
      </c>
      <c r="AG24" s="1" t="s">
        <v>201</v>
      </c>
      <c r="AH24" s="7"/>
      <c r="AI24" s="26">
        <f t="shared" si="2"/>
        <v>1.7936893203883495</v>
      </c>
      <c r="AJ24" s="26">
        <f t="shared" si="3"/>
        <v>1</v>
      </c>
      <c r="AK24" s="75" t="s">
        <v>202</v>
      </c>
      <c r="AL24" s="75" t="s">
        <v>31</v>
      </c>
      <c r="AM24" s="5">
        <v>100</v>
      </c>
      <c r="AN24" s="75"/>
      <c r="AO24" s="13" t="s">
        <v>208</v>
      </c>
      <c r="AP24" s="275">
        <v>5.2</v>
      </c>
      <c r="AQ24" s="275">
        <f t="shared" si="4"/>
        <v>9.5799999999999983</v>
      </c>
      <c r="AR24" s="267">
        <f t="shared" si="0"/>
        <v>9.8699999999999992</v>
      </c>
      <c r="AS24" s="76" t="s">
        <v>316</v>
      </c>
      <c r="AT24" s="4">
        <v>43676</v>
      </c>
      <c r="AU24" s="223">
        <v>44044</v>
      </c>
      <c r="AV24" s="223" t="s">
        <v>309</v>
      </c>
      <c r="AW24" s="272">
        <f t="shared" si="1"/>
        <v>1.0302713987473906</v>
      </c>
      <c r="AX24" s="259" t="s">
        <v>202</v>
      </c>
      <c r="AY24" s="13" t="s">
        <v>315</v>
      </c>
    </row>
    <row r="25" spans="1:51" ht="41.25" customHeight="1" x14ac:dyDescent="0.25">
      <c r="A25" s="5">
        <v>16</v>
      </c>
      <c r="B25" s="88" t="s">
        <v>151</v>
      </c>
      <c r="C25" s="89">
        <v>60</v>
      </c>
      <c r="D25" s="75"/>
      <c r="E25" s="75">
        <v>14.78</v>
      </c>
      <c r="F25" s="75"/>
      <c r="G25" s="75"/>
      <c r="H25" s="16"/>
      <c r="I25" s="16"/>
      <c r="J25" s="75"/>
      <c r="K25" s="75"/>
      <c r="L25" s="95">
        <v>1</v>
      </c>
      <c r="M25" s="75"/>
      <c r="N25" s="75"/>
      <c r="O25" s="75" t="s">
        <v>34</v>
      </c>
      <c r="P25" s="75"/>
      <c r="Q25" s="75"/>
      <c r="R25" s="75"/>
      <c r="S25" s="75"/>
      <c r="T25" s="75"/>
      <c r="U25" s="25"/>
      <c r="V25" s="3"/>
      <c r="W25" s="7"/>
      <c r="X25" s="14"/>
      <c r="Y25" s="7"/>
      <c r="Z25" s="12"/>
      <c r="AA25" s="75">
        <v>8.24</v>
      </c>
      <c r="AB25" s="75">
        <v>14.78</v>
      </c>
      <c r="AC25" s="76" t="s">
        <v>310</v>
      </c>
      <c r="AD25" s="4">
        <v>43676</v>
      </c>
      <c r="AE25" s="223">
        <v>43678</v>
      </c>
      <c r="AF25" s="223" t="s">
        <v>309</v>
      </c>
      <c r="AG25" s="1" t="s">
        <v>201</v>
      </c>
      <c r="AH25" s="7"/>
      <c r="AI25" s="26">
        <f t="shared" si="2"/>
        <v>1.7936893203883495</v>
      </c>
      <c r="AJ25" s="26">
        <f t="shared" si="3"/>
        <v>1</v>
      </c>
      <c r="AK25" s="75" t="s">
        <v>202</v>
      </c>
      <c r="AL25" s="75" t="s">
        <v>31</v>
      </c>
      <c r="AM25" s="5">
        <v>100</v>
      </c>
      <c r="AN25" s="75"/>
      <c r="AO25" s="13" t="s">
        <v>208</v>
      </c>
      <c r="AP25" s="275">
        <v>5.2</v>
      </c>
      <c r="AQ25" s="275">
        <f t="shared" si="4"/>
        <v>9.5799999999999983</v>
      </c>
      <c r="AR25" s="267">
        <f t="shared" si="0"/>
        <v>9.8699999999999992</v>
      </c>
      <c r="AS25" s="76" t="s">
        <v>316</v>
      </c>
      <c r="AT25" s="4">
        <v>43676</v>
      </c>
      <c r="AU25" s="223">
        <v>44044</v>
      </c>
      <c r="AV25" s="223" t="s">
        <v>309</v>
      </c>
      <c r="AW25" s="272">
        <f t="shared" si="1"/>
        <v>1.0302713987473906</v>
      </c>
      <c r="AX25" s="259" t="s">
        <v>202</v>
      </c>
      <c r="AY25" s="13" t="s">
        <v>315</v>
      </c>
    </row>
    <row r="26" spans="1:51" ht="41.25" customHeight="1" x14ac:dyDescent="0.25">
      <c r="A26" s="5">
        <v>17</v>
      </c>
      <c r="B26" s="88" t="s">
        <v>152</v>
      </c>
      <c r="C26" s="89">
        <v>59.9</v>
      </c>
      <c r="D26" s="75"/>
      <c r="E26" s="75">
        <v>14.78</v>
      </c>
      <c r="F26" s="75"/>
      <c r="G26" s="75"/>
      <c r="H26" s="16"/>
      <c r="I26" s="16"/>
      <c r="J26" s="75"/>
      <c r="K26" s="75"/>
      <c r="L26" s="95">
        <v>1</v>
      </c>
      <c r="M26" s="75"/>
      <c r="N26" s="75"/>
      <c r="O26" s="75" t="s">
        <v>34</v>
      </c>
      <c r="P26" s="75"/>
      <c r="Q26" s="75"/>
      <c r="R26" s="75"/>
      <c r="S26" s="75"/>
      <c r="T26" s="75"/>
      <c r="U26" s="25"/>
      <c r="V26" s="3"/>
      <c r="W26" s="7"/>
      <c r="X26" s="14"/>
      <c r="Y26" s="7"/>
      <c r="Z26" s="12"/>
      <c r="AA26" s="75">
        <v>8.24</v>
      </c>
      <c r="AB26" s="75">
        <v>14.78</v>
      </c>
      <c r="AC26" s="76" t="s">
        <v>310</v>
      </c>
      <c r="AD26" s="4">
        <v>43676</v>
      </c>
      <c r="AE26" s="223">
        <v>43678</v>
      </c>
      <c r="AF26" s="223" t="s">
        <v>309</v>
      </c>
      <c r="AG26" s="1" t="s">
        <v>201</v>
      </c>
      <c r="AH26" s="7"/>
      <c r="AI26" s="26">
        <f t="shared" si="2"/>
        <v>1.7936893203883495</v>
      </c>
      <c r="AJ26" s="26">
        <f t="shared" si="3"/>
        <v>1</v>
      </c>
      <c r="AK26" s="75" t="s">
        <v>202</v>
      </c>
      <c r="AL26" s="75" t="s">
        <v>31</v>
      </c>
      <c r="AM26" s="5">
        <v>100</v>
      </c>
      <c r="AN26" s="75"/>
      <c r="AO26" s="13" t="s">
        <v>208</v>
      </c>
      <c r="AP26" s="275">
        <v>5.2</v>
      </c>
      <c r="AQ26" s="275">
        <f t="shared" si="4"/>
        <v>9.5799999999999983</v>
      </c>
      <c r="AR26" s="267">
        <f t="shared" si="0"/>
        <v>9.8699999999999992</v>
      </c>
      <c r="AS26" s="76" t="s">
        <v>316</v>
      </c>
      <c r="AT26" s="4">
        <v>43676</v>
      </c>
      <c r="AU26" s="223">
        <v>44044</v>
      </c>
      <c r="AV26" s="223" t="s">
        <v>309</v>
      </c>
      <c r="AW26" s="272">
        <f t="shared" si="1"/>
        <v>1.0302713987473906</v>
      </c>
      <c r="AX26" s="259" t="s">
        <v>202</v>
      </c>
      <c r="AY26" s="13" t="s">
        <v>315</v>
      </c>
    </row>
    <row r="27" spans="1:51" ht="41.25" customHeight="1" x14ac:dyDescent="0.25">
      <c r="A27" s="5">
        <v>18</v>
      </c>
      <c r="B27" s="88" t="s">
        <v>153</v>
      </c>
      <c r="C27" s="89">
        <v>59.6</v>
      </c>
      <c r="D27" s="75"/>
      <c r="E27" s="75">
        <v>14.78</v>
      </c>
      <c r="F27" s="75"/>
      <c r="G27" s="75"/>
      <c r="H27" s="16"/>
      <c r="I27" s="16"/>
      <c r="J27" s="75"/>
      <c r="K27" s="75"/>
      <c r="L27" s="95">
        <v>1</v>
      </c>
      <c r="M27" s="75"/>
      <c r="N27" s="75"/>
      <c r="O27" s="75" t="s">
        <v>34</v>
      </c>
      <c r="P27" s="75"/>
      <c r="Q27" s="75"/>
      <c r="R27" s="75"/>
      <c r="S27" s="75"/>
      <c r="T27" s="75"/>
      <c r="U27" s="25"/>
      <c r="V27" s="3"/>
      <c r="W27" s="7"/>
      <c r="X27" s="14"/>
      <c r="Y27" s="7"/>
      <c r="Z27" s="12"/>
      <c r="AA27" s="75">
        <v>8.24</v>
      </c>
      <c r="AB27" s="75">
        <v>14.78</v>
      </c>
      <c r="AC27" s="76" t="s">
        <v>310</v>
      </c>
      <c r="AD27" s="4">
        <v>43676</v>
      </c>
      <c r="AE27" s="223">
        <v>43678</v>
      </c>
      <c r="AF27" s="223" t="s">
        <v>309</v>
      </c>
      <c r="AG27" s="1" t="s">
        <v>201</v>
      </c>
      <c r="AH27" s="7"/>
      <c r="AI27" s="26">
        <f t="shared" si="2"/>
        <v>1.7936893203883495</v>
      </c>
      <c r="AJ27" s="26">
        <f t="shared" si="3"/>
        <v>1</v>
      </c>
      <c r="AK27" s="75" t="s">
        <v>202</v>
      </c>
      <c r="AL27" s="75" t="s">
        <v>31</v>
      </c>
      <c r="AM27" s="5">
        <v>100</v>
      </c>
      <c r="AN27" s="75"/>
      <c r="AO27" s="13" t="s">
        <v>208</v>
      </c>
      <c r="AP27" s="275">
        <v>5.2</v>
      </c>
      <c r="AQ27" s="275">
        <f t="shared" si="4"/>
        <v>9.5799999999999983</v>
      </c>
      <c r="AR27" s="267">
        <f t="shared" si="0"/>
        <v>9.8699999999999992</v>
      </c>
      <c r="AS27" s="76" t="s">
        <v>316</v>
      </c>
      <c r="AT27" s="4">
        <v>43676</v>
      </c>
      <c r="AU27" s="223">
        <v>44044</v>
      </c>
      <c r="AV27" s="223" t="s">
        <v>309</v>
      </c>
      <c r="AW27" s="272">
        <f t="shared" si="1"/>
        <v>1.0302713987473906</v>
      </c>
      <c r="AX27" s="259" t="s">
        <v>202</v>
      </c>
      <c r="AY27" s="13" t="s">
        <v>315</v>
      </c>
    </row>
    <row r="28" spans="1:51" ht="41.25" customHeight="1" x14ac:dyDescent="0.25">
      <c r="A28" s="5">
        <v>19</v>
      </c>
      <c r="B28" s="88" t="s">
        <v>154</v>
      </c>
      <c r="C28" s="89">
        <v>60.8</v>
      </c>
      <c r="D28" s="75"/>
      <c r="E28" s="75">
        <v>14.78</v>
      </c>
      <c r="F28" s="75"/>
      <c r="G28" s="75"/>
      <c r="H28" s="16"/>
      <c r="I28" s="16"/>
      <c r="J28" s="75"/>
      <c r="K28" s="75"/>
      <c r="L28" s="95">
        <v>1</v>
      </c>
      <c r="M28" s="75"/>
      <c r="N28" s="75"/>
      <c r="O28" s="75" t="s">
        <v>34</v>
      </c>
      <c r="P28" s="75"/>
      <c r="Q28" s="75"/>
      <c r="R28" s="75"/>
      <c r="S28" s="75"/>
      <c r="T28" s="75"/>
      <c r="U28" s="25"/>
      <c r="V28" s="3"/>
      <c r="W28" s="7"/>
      <c r="X28" s="85"/>
      <c r="Y28" s="7"/>
      <c r="Z28" s="12"/>
      <c r="AA28" s="75">
        <v>8.24</v>
      </c>
      <c r="AB28" s="75">
        <v>14.78</v>
      </c>
      <c r="AC28" s="76" t="s">
        <v>310</v>
      </c>
      <c r="AD28" s="4">
        <v>43676</v>
      </c>
      <c r="AE28" s="223">
        <v>43678</v>
      </c>
      <c r="AF28" s="223" t="s">
        <v>309</v>
      </c>
      <c r="AG28" s="1" t="s">
        <v>201</v>
      </c>
      <c r="AH28" s="7"/>
      <c r="AI28" s="26">
        <f t="shared" si="2"/>
        <v>1.7936893203883495</v>
      </c>
      <c r="AJ28" s="26">
        <f t="shared" si="3"/>
        <v>1</v>
      </c>
      <c r="AK28" s="75" t="s">
        <v>202</v>
      </c>
      <c r="AL28" s="75" t="s">
        <v>31</v>
      </c>
      <c r="AM28" s="5">
        <v>100</v>
      </c>
      <c r="AN28" s="75"/>
      <c r="AO28" s="13" t="s">
        <v>208</v>
      </c>
      <c r="AP28" s="275">
        <v>5.2</v>
      </c>
      <c r="AQ28" s="275">
        <f t="shared" si="4"/>
        <v>9.5799999999999983</v>
      </c>
      <c r="AR28" s="267">
        <f t="shared" si="0"/>
        <v>9.8699999999999992</v>
      </c>
      <c r="AS28" s="76" t="s">
        <v>316</v>
      </c>
      <c r="AT28" s="4">
        <v>43676</v>
      </c>
      <c r="AU28" s="223">
        <v>44044</v>
      </c>
      <c r="AV28" s="223" t="s">
        <v>309</v>
      </c>
      <c r="AW28" s="272">
        <f t="shared" si="1"/>
        <v>1.0302713987473906</v>
      </c>
      <c r="AX28" s="259" t="s">
        <v>202</v>
      </c>
      <c r="AY28" s="13" t="s">
        <v>315</v>
      </c>
    </row>
    <row r="29" spans="1:51" ht="41.25" customHeight="1" x14ac:dyDescent="0.25">
      <c r="A29" s="5">
        <v>20</v>
      </c>
      <c r="B29" s="88" t="s">
        <v>155</v>
      </c>
      <c r="C29" s="89">
        <v>59</v>
      </c>
      <c r="D29" s="75"/>
      <c r="E29" s="75">
        <v>14.78</v>
      </c>
      <c r="F29" s="75"/>
      <c r="G29" s="75"/>
      <c r="H29" s="16"/>
      <c r="I29" s="16"/>
      <c r="J29" s="75"/>
      <c r="K29" s="75"/>
      <c r="L29" s="95">
        <v>1</v>
      </c>
      <c r="M29" s="75"/>
      <c r="N29" s="75"/>
      <c r="O29" s="75" t="s">
        <v>34</v>
      </c>
      <c r="P29" s="75"/>
      <c r="Q29" s="75"/>
      <c r="R29" s="75"/>
      <c r="S29" s="75"/>
      <c r="T29" s="75"/>
      <c r="U29" s="25"/>
      <c r="V29" s="3"/>
      <c r="W29" s="7"/>
      <c r="X29" s="14"/>
      <c r="Y29" s="7"/>
      <c r="Z29" s="12"/>
      <c r="AA29" s="75">
        <v>8.24</v>
      </c>
      <c r="AB29" s="75">
        <v>14.78</v>
      </c>
      <c r="AC29" s="76" t="s">
        <v>310</v>
      </c>
      <c r="AD29" s="4">
        <v>43676</v>
      </c>
      <c r="AE29" s="223">
        <v>43678</v>
      </c>
      <c r="AF29" s="223" t="s">
        <v>309</v>
      </c>
      <c r="AG29" s="1" t="s">
        <v>201</v>
      </c>
      <c r="AH29" s="7"/>
      <c r="AI29" s="26">
        <f t="shared" si="2"/>
        <v>1.7936893203883495</v>
      </c>
      <c r="AJ29" s="26">
        <f t="shared" si="3"/>
        <v>1</v>
      </c>
      <c r="AK29" s="75" t="s">
        <v>202</v>
      </c>
      <c r="AL29" s="75" t="s">
        <v>31</v>
      </c>
      <c r="AM29" s="5">
        <v>100</v>
      </c>
      <c r="AN29" s="75"/>
      <c r="AO29" s="13" t="s">
        <v>208</v>
      </c>
      <c r="AP29" s="275">
        <v>5.2</v>
      </c>
      <c r="AQ29" s="275">
        <f t="shared" si="4"/>
        <v>9.5799999999999983</v>
      </c>
      <c r="AR29" s="267">
        <f t="shared" si="0"/>
        <v>9.8699999999999992</v>
      </c>
      <c r="AS29" s="76" t="s">
        <v>316</v>
      </c>
      <c r="AT29" s="4">
        <v>43676</v>
      </c>
      <c r="AU29" s="223">
        <v>44044</v>
      </c>
      <c r="AV29" s="223" t="s">
        <v>309</v>
      </c>
      <c r="AW29" s="272">
        <f t="shared" si="1"/>
        <v>1.0302713987473906</v>
      </c>
      <c r="AX29" s="259" t="s">
        <v>202</v>
      </c>
      <c r="AY29" s="13" t="s">
        <v>315</v>
      </c>
    </row>
    <row r="30" spans="1:51" ht="41.25" customHeight="1" x14ac:dyDescent="0.25">
      <c r="A30" s="5">
        <v>21</v>
      </c>
      <c r="B30" s="88" t="s">
        <v>156</v>
      </c>
      <c r="C30" s="89">
        <v>59.8</v>
      </c>
      <c r="D30" s="75"/>
      <c r="E30" s="75">
        <v>14.78</v>
      </c>
      <c r="F30" s="75"/>
      <c r="G30" s="75"/>
      <c r="H30" s="16"/>
      <c r="I30" s="16"/>
      <c r="J30" s="75"/>
      <c r="K30" s="75"/>
      <c r="L30" s="95">
        <v>1</v>
      </c>
      <c r="M30" s="75"/>
      <c r="N30" s="75"/>
      <c r="O30" s="75" t="s">
        <v>34</v>
      </c>
      <c r="P30" s="75"/>
      <c r="Q30" s="75"/>
      <c r="R30" s="75"/>
      <c r="S30" s="75"/>
      <c r="T30" s="75"/>
      <c r="U30" s="25"/>
      <c r="V30" s="3"/>
      <c r="W30" s="7"/>
      <c r="X30" s="14"/>
      <c r="Y30" s="7"/>
      <c r="Z30" s="12"/>
      <c r="AA30" s="75">
        <v>8.24</v>
      </c>
      <c r="AB30" s="75">
        <v>14.78</v>
      </c>
      <c r="AC30" s="76" t="s">
        <v>310</v>
      </c>
      <c r="AD30" s="4">
        <v>43676</v>
      </c>
      <c r="AE30" s="223">
        <v>43678</v>
      </c>
      <c r="AF30" s="223" t="s">
        <v>309</v>
      </c>
      <c r="AG30" s="1" t="s">
        <v>201</v>
      </c>
      <c r="AH30" s="7"/>
      <c r="AI30" s="26">
        <f t="shared" si="2"/>
        <v>1.7936893203883495</v>
      </c>
      <c r="AJ30" s="26">
        <f t="shared" si="3"/>
        <v>1</v>
      </c>
      <c r="AK30" s="75" t="s">
        <v>202</v>
      </c>
      <c r="AL30" s="75" t="s">
        <v>31</v>
      </c>
      <c r="AM30" s="5">
        <v>100</v>
      </c>
      <c r="AN30" s="75"/>
      <c r="AO30" s="13" t="s">
        <v>208</v>
      </c>
      <c r="AP30" s="275">
        <v>5.2</v>
      </c>
      <c r="AQ30" s="275">
        <f t="shared" si="4"/>
        <v>9.5799999999999983</v>
      </c>
      <c r="AR30" s="267">
        <f t="shared" si="0"/>
        <v>9.8699999999999992</v>
      </c>
      <c r="AS30" s="76" t="s">
        <v>316</v>
      </c>
      <c r="AT30" s="4">
        <v>43676</v>
      </c>
      <c r="AU30" s="223">
        <v>44044</v>
      </c>
      <c r="AV30" s="223" t="s">
        <v>309</v>
      </c>
      <c r="AW30" s="272">
        <f t="shared" si="1"/>
        <v>1.0302713987473906</v>
      </c>
      <c r="AX30" s="259" t="s">
        <v>202</v>
      </c>
      <c r="AY30" s="13" t="s">
        <v>315</v>
      </c>
    </row>
    <row r="31" spans="1:51" ht="41.25" customHeight="1" x14ac:dyDescent="0.25">
      <c r="A31" s="5">
        <v>22</v>
      </c>
      <c r="B31" s="88" t="s">
        <v>157</v>
      </c>
      <c r="C31" s="89">
        <v>158.5</v>
      </c>
      <c r="D31" s="75"/>
      <c r="E31" s="75">
        <v>14.78</v>
      </c>
      <c r="F31" s="75"/>
      <c r="G31" s="75"/>
      <c r="H31" s="16"/>
      <c r="I31" s="16"/>
      <c r="J31" s="75"/>
      <c r="K31" s="75"/>
      <c r="L31" s="95">
        <v>1</v>
      </c>
      <c r="M31" s="75"/>
      <c r="N31" s="75"/>
      <c r="O31" s="75" t="s">
        <v>34</v>
      </c>
      <c r="P31" s="75"/>
      <c r="Q31" s="75"/>
      <c r="R31" s="75"/>
      <c r="S31" s="75"/>
      <c r="T31" s="75"/>
      <c r="U31" s="25"/>
      <c r="V31" s="3"/>
      <c r="W31" s="7"/>
      <c r="X31" s="14"/>
      <c r="Y31" s="7"/>
      <c r="Z31" s="12"/>
      <c r="AA31" s="75">
        <v>8.24</v>
      </c>
      <c r="AB31" s="75">
        <v>14.78</v>
      </c>
      <c r="AC31" s="76" t="s">
        <v>310</v>
      </c>
      <c r="AD31" s="4">
        <v>43676</v>
      </c>
      <c r="AE31" s="223">
        <v>43678</v>
      </c>
      <c r="AF31" s="223" t="s">
        <v>309</v>
      </c>
      <c r="AG31" s="1" t="s">
        <v>201</v>
      </c>
      <c r="AH31" s="7"/>
      <c r="AI31" s="26">
        <f t="shared" si="2"/>
        <v>1.7936893203883495</v>
      </c>
      <c r="AJ31" s="26">
        <f t="shared" si="3"/>
        <v>1</v>
      </c>
      <c r="AK31" s="75" t="s">
        <v>202</v>
      </c>
      <c r="AL31" s="75" t="s">
        <v>31</v>
      </c>
      <c r="AM31" s="5">
        <v>100</v>
      </c>
      <c r="AN31" s="75"/>
      <c r="AO31" s="13" t="s">
        <v>208</v>
      </c>
      <c r="AP31" s="275">
        <v>5.2</v>
      </c>
      <c r="AQ31" s="275">
        <f t="shared" si="4"/>
        <v>9.5799999999999983</v>
      </c>
      <c r="AR31" s="267">
        <f t="shared" si="0"/>
        <v>9.8699999999999992</v>
      </c>
      <c r="AS31" s="76" t="s">
        <v>316</v>
      </c>
      <c r="AT31" s="4">
        <v>43676</v>
      </c>
      <c r="AU31" s="223">
        <v>44044</v>
      </c>
      <c r="AV31" s="223" t="s">
        <v>309</v>
      </c>
      <c r="AW31" s="272">
        <f t="shared" si="1"/>
        <v>1.0302713987473906</v>
      </c>
      <c r="AX31" s="259" t="s">
        <v>202</v>
      </c>
      <c r="AY31" s="13" t="s">
        <v>315</v>
      </c>
    </row>
    <row r="32" spans="1:51" ht="41.25" customHeight="1" x14ac:dyDescent="0.25">
      <c r="A32" s="5">
        <v>23</v>
      </c>
      <c r="B32" s="88" t="s">
        <v>158</v>
      </c>
      <c r="C32" s="89">
        <v>124.9</v>
      </c>
      <c r="D32" s="75"/>
      <c r="E32" s="75">
        <v>14.78</v>
      </c>
      <c r="F32" s="75"/>
      <c r="G32" s="75"/>
      <c r="H32" s="16"/>
      <c r="I32" s="16"/>
      <c r="J32" s="75"/>
      <c r="K32" s="75"/>
      <c r="L32" s="95">
        <v>1</v>
      </c>
      <c r="M32" s="75"/>
      <c r="N32" s="75"/>
      <c r="O32" s="75" t="s">
        <v>34</v>
      </c>
      <c r="P32" s="75"/>
      <c r="Q32" s="75"/>
      <c r="R32" s="75"/>
      <c r="S32" s="75"/>
      <c r="T32" s="75"/>
      <c r="U32" s="25"/>
      <c r="V32" s="3"/>
      <c r="W32" s="7"/>
      <c r="X32" s="14"/>
      <c r="Y32" s="7"/>
      <c r="Z32" s="12"/>
      <c r="AA32" s="75">
        <v>8.24</v>
      </c>
      <c r="AB32" s="75">
        <v>14.78</v>
      </c>
      <c r="AC32" s="76" t="s">
        <v>310</v>
      </c>
      <c r="AD32" s="4">
        <v>43676</v>
      </c>
      <c r="AE32" s="223">
        <v>43678</v>
      </c>
      <c r="AF32" s="223" t="s">
        <v>309</v>
      </c>
      <c r="AG32" s="1" t="s">
        <v>201</v>
      </c>
      <c r="AH32" s="7"/>
      <c r="AI32" s="26">
        <f t="shared" si="2"/>
        <v>1.7936893203883495</v>
      </c>
      <c r="AJ32" s="26">
        <f t="shared" si="3"/>
        <v>1</v>
      </c>
      <c r="AK32" s="75" t="s">
        <v>202</v>
      </c>
      <c r="AL32" s="75" t="s">
        <v>31</v>
      </c>
      <c r="AM32" s="5">
        <v>100</v>
      </c>
      <c r="AN32" s="75"/>
      <c r="AO32" s="13" t="s">
        <v>208</v>
      </c>
      <c r="AP32" s="275">
        <v>5.2</v>
      </c>
      <c r="AQ32" s="275">
        <f t="shared" si="4"/>
        <v>9.5799999999999983</v>
      </c>
      <c r="AR32" s="267">
        <f t="shared" si="0"/>
        <v>9.8699999999999992</v>
      </c>
      <c r="AS32" s="76" t="s">
        <v>316</v>
      </c>
      <c r="AT32" s="4">
        <v>43676</v>
      </c>
      <c r="AU32" s="223">
        <v>44044</v>
      </c>
      <c r="AV32" s="223" t="s">
        <v>309</v>
      </c>
      <c r="AW32" s="272">
        <f t="shared" si="1"/>
        <v>1.0302713987473906</v>
      </c>
      <c r="AX32" s="259" t="s">
        <v>202</v>
      </c>
      <c r="AY32" s="13" t="s">
        <v>315</v>
      </c>
    </row>
    <row r="33" spans="1:51" ht="41.25" customHeight="1" x14ac:dyDescent="0.25">
      <c r="A33" s="5">
        <v>24</v>
      </c>
      <c r="B33" s="88" t="s">
        <v>159</v>
      </c>
      <c r="C33" s="89">
        <v>54</v>
      </c>
      <c r="D33" s="75"/>
      <c r="E33" s="75">
        <v>14.78</v>
      </c>
      <c r="F33" s="75"/>
      <c r="G33" s="75"/>
      <c r="H33" s="16"/>
      <c r="I33" s="16"/>
      <c r="J33" s="75"/>
      <c r="K33" s="75"/>
      <c r="L33" s="95">
        <v>1</v>
      </c>
      <c r="M33" s="75"/>
      <c r="N33" s="75"/>
      <c r="O33" s="75" t="s">
        <v>34</v>
      </c>
      <c r="P33" s="75"/>
      <c r="Q33" s="75"/>
      <c r="R33" s="75"/>
      <c r="S33" s="75"/>
      <c r="T33" s="75"/>
      <c r="U33" s="25"/>
      <c r="V33" s="3"/>
      <c r="W33" s="7"/>
      <c r="X33" s="14"/>
      <c r="Y33" s="7"/>
      <c r="Z33" s="12"/>
      <c r="AA33" s="75">
        <v>8.24</v>
      </c>
      <c r="AB33" s="75">
        <v>14.78</v>
      </c>
      <c r="AC33" s="76" t="s">
        <v>310</v>
      </c>
      <c r="AD33" s="4">
        <v>43676</v>
      </c>
      <c r="AE33" s="223">
        <v>43678</v>
      </c>
      <c r="AF33" s="223" t="s">
        <v>309</v>
      </c>
      <c r="AG33" s="1" t="s">
        <v>201</v>
      </c>
      <c r="AH33" s="7"/>
      <c r="AI33" s="26">
        <f t="shared" si="2"/>
        <v>1.7936893203883495</v>
      </c>
      <c r="AJ33" s="26">
        <f t="shared" si="3"/>
        <v>1</v>
      </c>
      <c r="AK33" s="75" t="s">
        <v>202</v>
      </c>
      <c r="AL33" s="75" t="s">
        <v>31</v>
      </c>
      <c r="AM33" s="5">
        <v>100</v>
      </c>
      <c r="AN33" s="75"/>
      <c r="AO33" s="13" t="s">
        <v>208</v>
      </c>
      <c r="AP33" s="275">
        <v>5.2</v>
      </c>
      <c r="AQ33" s="275">
        <f t="shared" si="4"/>
        <v>9.5799999999999983</v>
      </c>
      <c r="AR33" s="267">
        <f t="shared" si="0"/>
        <v>9.8699999999999992</v>
      </c>
      <c r="AS33" s="76" t="s">
        <v>316</v>
      </c>
      <c r="AT33" s="4">
        <v>43676</v>
      </c>
      <c r="AU33" s="223">
        <v>44044</v>
      </c>
      <c r="AV33" s="223" t="s">
        <v>309</v>
      </c>
      <c r="AW33" s="272">
        <f t="shared" si="1"/>
        <v>1.0302713987473906</v>
      </c>
      <c r="AX33" s="259" t="s">
        <v>202</v>
      </c>
      <c r="AY33" s="13" t="s">
        <v>315</v>
      </c>
    </row>
    <row r="34" spans="1:51" ht="41.25" customHeight="1" x14ac:dyDescent="0.25">
      <c r="A34" s="5">
        <v>25</v>
      </c>
      <c r="B34" s="88" t="s">
        <v>160</v>
      </c>
      <c r="C34" s="89">
        <v>61.2</v>
      </c>
      <c r="D34" s="75"/>
      <c r="E34" s="75">
        <v>14.78</v>
      </c>
      <c r="F34" s="75"/>
      <c r="G34" s="75"/>
      <c r="H34" s="16"/>
      <c r="I34" s="16"/>
      <c r="J34" s="75"/>
      <c r="K34" s="75"/>
      <c r="L34" s="95">
        <v>1</v>
      </c>
      <c r="M34" s="75"/>
      <c r="N34" s="75"/>
      <c r="O34" s="75" t="s">
        <v>34</v>
      </c>
      <c r="P34" s="75"/>
      <c r="Q34" s="75"/>
      <c r="R34" s="75"/>
      <c r="S34" s="75"/>
      <c r="T34" s="75"/>
      <c r="U34" s="25"/>
      <c r="V34" s="3"/>
      <c r="W34" s="7"/>
      <c r="X34" s="14"/>
      <c r="Y34" s="7"/>
      <c r="Z34" s="12"/>
      <c r="AA34" s="75">
        <v>8.24</v>
      </c>
      <c r="AB34" s="75">
        <v>14.78</v>
      </c>
      <c r="AC34" s="76" t="s">
        <v>310</v>
      </c>
      <c r="AD34" s="4">
        <v>43676</v>
      </c>
      <c r="AE34" s="223">
        <v>43678</v>
      </c>
      <c r="AF34" s="223" t="s">
        <v>309</v>
      </c>
      <c r="AG34" s="1" t="s">
        <v>201</v>
      </c>
      <c r="AH34" s="7"/>
      <c r="AI34" s="26">
        <f t="shared" si="2"/>
        <v>1.7936893203883495</v>
      </c>
      <c r="AJ34" s="26">
        <f t="shared" si="3"/>
        <v>1</v>
      </c>
      <c r="AK34" s="75" t="s">
        <v>202</v>
      </c>
      <c r="AL34" s="75" t="s">
        <v>31</v>
      </c>
      <c r="AM34" s="5">
        <v>100</v>
      </c>
      <c r="AN34" s="75"/>
      <c r="AO34" s="13" t="s">
        <v>208</v>
      </c>
      <c r="AP34" s="275">
        <v>5.2</v>
      </c>
      <c r="AQ34" s="275">
        <f t="shared" si="4"/>
        <v>9.5799999999999983</v>
      </c>
      <c r="AR34" s="267">
        <f t="shared" si="0"/>
        <v>9.8699999999999992</v>
      </c>
      <c r="AS34" s="76" t="s">
        <v>316</v>
      </c>
      <c r="AT34" s="4">
        <v>43676</v>
      </c>
      <c r="AU34" s="223">
        <v>44044</v>
      </c>
      <c r="AV34" s="223" t="s">
        <v>309</v>
      </c>
      <c r="AW34" s="272">
        <f t="shared" si="1"/>
        <v>1.0302713987473906</v>
      </c>
      <c r="AX34" s="259" t="s">
        <v>202</v>
      </c>
      <c r="AY34" s="13" t="s">
        <v>315</v>
      </c>
    </row>
    <row r="35" spans="1:51" ht="41.25" customHeight="1" x14ac:dyDescent="0.25">
      <c r="A35" s="5">
        <v>26</v>
      </c>
      <c r="B35" s="88" t="s">
        <v>161</v>
      </c>
      <c r="C35" s="89">
        <v>60.1</v>
      </c>
      <c r="D35" s="75"/>
      <c r="E35" s="75">
        <v>14.78</v>
      </c>
      <c r="F35" s="75"/>
      <c r="G35" s="75"/>
      <c r="H35" s="16"/>
      <c r="I35" s="16"/>
      <c r="J35" s="75"/>
      <c r="K35" s="75"/>
      <c r="L35" s="95">
        <v>1</v>
      </c>
      <c r="M35" s="75"/>
      <c r="N35" s="75"/>
      <c r="O35" s="75" t="s">
        <v>34</v>
      </c>
      <c r="P35" s="75"/>
      <c r="Q35" s="75"/>
      <c r="R35" s="75"/>
      <c r="S35" s="75"/>
      <c r="T35" s="75"/>
      <c r="U35" s="25"/>
      <c r="V35" s="3"/>
      <c r="W35" s="7"/>
      <c r="X35" s="14"/>
      <c r="Y35" s="7"/>
      <c r="Z35" s="12"/>
      <c r="AA35" s="75">
        <v>8.24</v>
      </c>
      <c r="AB35" s="75">
        <v>14.78</v>
      </c>
      <c r="AC35" s="76" t="s">
        <v>310</v>
      </c>
      <c r="AD35" s="4">
        <v>43676</v>
      </c>
      <c r="AE35" s="223">
        <v>43678</v>
      </c>
      <c r="AF35" s="223" t="s">
        <v>309</v>
      </c>
      <c r="AG35" s="1" t="s">
        <v>201</v>
      </c>
      <c r="AH35" s="7"/>
      <c r="AI35" s="26">
        <f t="shared" si="2"/>
        <v>1.7936893203883495</v>
      </c>
      <c r="AJ35" s="26">
        <f t="shared" si="3"/>
        <v>1</v>
      </c>
      <c r="AK35" s="75" t="s">
        <v>202</v>
      </c>
      <c r="AL35" s="75" t="s">
        <v>31</v>
      </c>
      <c r="AM35" s="5">
        <v>100</v>
      </c>
      <c r="AN35" s="75"/>
      <c r="AO35" s="13" t="s">
        <v>208</v>
      </c>
      <c r="AP35" s="275">
        <v>5.2</v>
      </c>
      <c r="AQ35" s="275">
        <f t="shared" si="4"/>
        <v>9.5799999999999983</v>
      </c>
      <c r="AR35" s="267">
        <f t="shared" si="0"/>
        <v>9.8699999999999992</v>
      </c>
      <c r="AS35" s="76" t="s">
        <v>316</v>
      </c>
      <c r="AT35" s="4">
        <v>43676</v>
      </c>
      <c r="AU35" s="223">
        <v>44044</v>
      </c>
      <c r="AV35" s="223" t="s">
        <v>309</v>
      </c>
      <c r="AW35" s="272">
        <f t="shared" si="1"/>
        <v>1.0302713987473906</v>
      </c>
      <c r="AX35" s="259" t="s">
        <v>202</v>
      </c>
      <c r="AY35" s="13" t="s">
        <v>315</v>
      </c>
    </row>
    <row r="36" spans="1:51" ht="41.25" customHeight="1" x14ac:dyDescent="0.25">
      <c r="A36" s="5">
        <v>27</v>
      </c>
      <c r="B36" s="88" t="s">
        <v>162</v>
      </c>
      <c r="C36" s="89">
        <v>62.2</v>
      </c>
      <c r="D36" s="75"/>
      <c r="E36" s="75">
        <v>14.78</v>
      </c>
      <c r="F36" s="75"/>
      <c r="G36" s="75"/>
      <c r="H36" s="16"/>
      <c r="I36" s="16"/>
      <c r="J36" s="75"/>
      <c r="K36" s="75"/>
      <c r="L36" s="95">
        <v>1</v>
      </c>
      <c r="M36" s="75"/>
      <c r="N36" s="75"/>
      <c r="O36" s="75" t="s">
        <v>34</v>
      </c>
      <c r="P36" s="75"/>
      <c r="Q36" s="75"/>
      <c r="R36" s="75"/>
      <c r="S36" s="75"/>
      <c r="T36" s="75"/>
      <c r="U36" s="25"/>
      <c r="V36" s="3"/>
      <c r="W36" s="7"/>
      <c r="X36" s="14"/>
      <c r="Y36" s="7"/>
      <c r="Z36" s="12"/>
      <c r="AA36" s="75">
        <v>8.24</v>
      </c>
      <c r="AB36" s="75">
        <v>14.78</v>
      </c>
      <c r="AC36" s="76" t="s">
        <v>310</v>
      </c>
      <c r="AD36" s="4">
        <v>43676</v>
      </c>
      <c r="AE36" s="223">
        <v>43678</v>
      </c>
      <c r="AF36" s="223" t="s">
        <v>309</v>
      </c>
      <c r="AG36" s="1" t="s">
        <v>201</v>
      </c>
      <c r="AH36" s="7"/>
      <c r="AI36" s="26">
        <f t="shared" si="2"/>
        <v>1.7936893203883495</v>
      </c>
      <c r="AJ36" s="26">
        <f t="shared" si="3"/>
        <v>1</v>
      </c>
      <c r="AK36" s="75" t="s">
        <v>202</v>
      </c>
      <c r="AL36" s="75" t="s">
        <v>31</v>
      </c>
      <c r="AM36" s="5">
        <v>100</v>
      </c>
      <c r="AN36" s="75"/>
      <c r="AO36" s="13" t="s">
        <v>208</v>
      </c>
      <c r="AP36" s="275">
        <v>5.2</v>
      </c>
      <c r="AQ36" s="275">
        <f t="shared" si="4"/>
        <v>9.5799999999999983</v>
      </c>
      <c r="AR36" s="267">
        <f t="shared" si="0"/>
        <v>9.8699999999999992</v>
      </c>
      <c r="AS36" s="76" t="s">
        <v>316</v>
      </c>
      <c r="AT36" s="4">
        <v>43676</v>
      </c>
      <c r="AU36" s="223">
        <v>44044</v>
      </c>
      <c r="AV36" s="223" t="s">
        <v>309</v>
      </c>
      <c r="AW36" s="272">
        <f t="shared" si="1"/>
        <v>1.0302713987473906</v>
      </c>
      <c r="AX36" s="259" t="s">
        <v>202</v>
      </c>
      <c r="AY36" s="13" t="s">
        <v>315</v>
      </c>
    </row>
    <row r="37" spans="1:51" ht="41.25" customHeight="1" x14ac:dyDescent="0.25">
      <c r="A37" s="5">
        <v>28</v>
      </c>
      <c r="B37" s="88" t="s">
        <v>163</v>
      </c>
      <c r="C37" s="89">
        <v>60.2</v>
      </c>
      <c r="D37" s="75"/>
      <c r="E37" s="75">
        <v>14.78</v>
      </c>
      <c r="F37" s="75"/>
      <c r="G37" s="75"/>
      <c r="H37" s="16"/>
      <c r="I37" s="16"/>
      <c r="J37" s="75"/>
      <c r="K37" s="75"/>
      <c r="L37" s="95">
        <v>1</v>
      </c>
      <c r="M37" s="75"/>
      <c r="N37" s="75"/>
      <c r="O37" s="75" t="s">
        <v>34</v>
      </c>
      <c r="P37" s="75"/>
      <c r="Q37" s="75"/>
      <c r="R37" s="75"/>
      <c r="S37" s="75"/>
      <c r="T37" s="75"/>
      <c r="U37" s="25"/>
      <c r="V37" s="3"/>
      <c r="W37" s="8"/>
      <c r="X37" s="85"/>
      <c r="Y37" s="7"/>
      <c r="Z37" s="12"/>
      <c r="AA37" s="75">
        <v>8.24</v>
      </c>
      <c r="AB37" s="75">
        <v>14.78</v>
      </c>
      <c r="AC37" s="76" t="s">
        <v>310</v>
      </c>
      <c r="AD37" s="4">
        <v>43676</v>
      </c>
      <c r="AE37" s="223">
        <v>43678</v>
      </c>
      <c r="AF37" s="223" t="s">
        <v>309</v>
      </c>
      <c r="AG37" s="1" t="s">
        <v>201</v>
      </c>
      <c r="AH37" s="7"/>
      <c r="AI37" s="26">
        <f t="shared" si="2"/>
        <v>1.7936893203883495</v>
      </c>
      <c r="AJ37" s="26">
        <f t="shared" si="3"/>
        <v>1</v>
      </c>
      <c r="AK37" s="75" t="s">
        <v>202</v>
      </c>
      <c r="AL37" s="75" t="s">
        <v>31</v>
      </c>
      <c r="AM37" s="5">
        <v>100</v>
      </c>
      <c r="AN37" s="75"/>
      <c r="AO37" s="13" t="s">
        <v>208</v>
      </c>
      <c r="AP37" s="275">
        <v>5.2</v>
      </c>
      <c r="AQ37" s="275">
        <f t="shared" si="4"/>
        <v>9.5799999999999983</v>
      </c>
      <c r="AR37" s="267">
        <f t="shared" si="0"/>
        <v>9.8699999999999992</v>
      </c>
      <c r="AS37" s="76" t="s">
        <v>316</v>
      </c>
      <c r="AT37" s="4">
        <v>43676</v>
      </c>
      <c r="AU37" s="223">
        <v>44044</v>
      </c>
      <c r="AV37" s="223" t="s">
        <v>309</v>
      </c>
      <c r="AW37" s="272">
        <f t="shared" si="1"/>
        <v>1.0302713987473906</v>
      </c>
      <c r="AX37" s="259" t="s">
        <v>202</v>
      </c>
      <c r="AY37" s="13" t="s">
        <v>315</v>
      </c>
    </row>
    <row r="38" spans="1:51" s="24" customFormat="1" ht="41.25" customHeight="1" x14ac:dyDescent="0.25">
      <c r="A38" s="5">
        <v>29</v>
      </c>
      <c r="B38" s="88" t="s">
        <v>164</v>
      </c>
      <c r="C38" s="89">
        <v>61.7</v>
      </c>
      <c r="D38" s="19"/>
      <c r="E38" s="75">
        <v>14.78</v>
      </c>
      <c r="F38" s="19"/>
      <c r="G38" s="19"/>
      <c r="H38" s="84"/>
      <c r="I38" s="84"/>
      <c r="J38" s="19"/>
      <c r="K38" s="19"/>
      <c r="L38" s="95">
        <v>1</v>
      </c>
      <c r="M38" s="19"/>
      <c r="N38" s="19"/>
      <c r="O38" s="75" t="s">
        <v>34</v>
      </c>
      <c r="P38" s="19"/>
      <c r="Q38" s="19"/>
      <c r="R38" s="19"/>
      <c r="S38" s="19"/>
      <c r="T38" s="19"/>
      <c r="U38" s="14"/>
      <c r="V38" s="7"/>
      <c r="W38" s="7"/>
      <c r="X38" s="14"/>
      <c r="Y38" s="14"/>
      <c r="Z38" s="83"/>
      <c r="AA38" s="75">
        <v>8.24</v>
      </c>
      <c r="AB38" s="75">
        <v>14.78</v>
      </c>
      <c r="AC38" s="76" t="s">
        <v>310</v>
      </c>
      <c r="AD38" s="4">
        <v>43676</v>
      </c>
      <c r="AE38" s="223">
        <v>43678</v>
      </c>
      <c r="AF38" s="223" t="s">
        <v>309</v>
      </c>
      <c r="AG38" s="1" t="s">
        <v>201</v>
      </c>
      <c r="AH38" s="14"/>
      <c r="AI38" s="26">
        <f t="shared" si="2"/>
        <v>1.7936893203883495</v>
      </c>
      <c r="AJ38" s="26">
        <f t="shared" si="3"/>
        <v>1</v>
      </c>
      <c r="AK38" s="75" t="s">
        <v>202</v>
      </c>
      <c r="AL38" s="75" t="s">
        <v>31</v>
      </c>
      <c r="AM38" s="5">
        <v>100</v>
      </c>
      <c r="AN38" s="19"/>
      <c r="AO38" s="13" t="s">
        <v>208</v>
      </c>
      <c r="AP38" s="275">
        <v>5.2</v>
      </c>
      <c r="AQ38" s="275">
        <f t="shared" si="4"/>
        <v>9.5799999999999983</v>
      </c>
      <c r="AR38" s="267">
        <f t="shared" si="0"/>
        <v>9.8699999999999992</v>
      </c>
      <c r="AS38" s="76" t="s">
        <v>316</v>
      </c>
      <c r="AT38" s="4">
        <v>43676</v>
      </c>
      <c r="AU38" s="223">
        <v>44044</v>
      </c>
      <c r="AV38" s="223" t="s">
        <v>309</v>
      </c>
      <c r="AW38" s="272">
        <f t="shared" si="1"/>
        <v>1.0302713987473906</v>
      </c>
      <c r="AX38" s="259" t="s">
        <v>202</v>
      </c>
      <c r="AY38" s="13" t="s">
        <v>315</v>
      </c>
    </row>
    <row r="39" spans="1:51" ht="41.25" customHeight="1" x14ac:dyDescent="0.25">
      <c r="A39" s="5">
        <v>30</v>
      </c>
      <c r="B39" s="88" t="s">
        <v>165</v>
      </c>
      <c r="C39" s="89">
        <v>58</v>
      </c>
      <c r="D39" s="75"/>
      <c r="E39" s="75">
        <v>14.78</v>
      </c>
      <c r="F39" s="75"/>
      <c r="G39" s="75"/>
      <c r="H39" s="16"/>
      <c r="I39" s="16"/>
      <c r="J39" s="75"/>
      <c r="K39" s="75"/>
      <c r="L39" s="95">
        <v>1</v>
      </c>
      <c r="M39" s="75"/>
      <c r="N39" s="75"/>
      <c r="O39" s="75" t="s">
        <v>34</v>
      </c>
      <c r="P39" s="75"/>
      <c r="Q39" s="75"/>
      <c r="R39" s="75"/>
      <c r="S39" s="75"/>
      <c r="T39" s="75"/>
      <c r="U39" s="25"/>
      <c r="V39" s="3"/>
      <c r="W39" s="7"/>
      <c r="X39" s="14"/>
      <c r="Y39" s="14"/>
      <c r="Z39" s="12"/>
      <c r="AA39" s="75">
        <v>8.24</v>
      </c>
      <c r="AB39" s="75">
        <v>14.78</v>
      </c>
      <c r="AC39" s="76" t="s">
        <v>310</v>
      </c>
      <c r="AD39" s="4">
        <v>43676</v>
      </c>
      <c r="AE39" s="223">
        <v>43678</v>
      </c>
      <c r="AF39" s="223" t="s">
        <v>309</v>
      </c>
      <c r="AG39" s="1" t="s">
        <v>201</v>
      </c>
      <c r="AH39" s="14"/>
      <c r="AI39" s="26">
        <f t="shared" si="2"/>
        <v>1.7936893203883495</v>
      </c>
      <c r="AJ39" s="26">
        <f t="shared" si="3"/>
        <v>1</v>
      </c>
      <c r="AK39" s="75" t="s">
        <v>202</v>
      </c>
      <c r="AL39" s="75" t="s">
        <v>31</v>
      </c>
      <c r="AM39" s="5">
        <v>100</v>
      </c>
      <c r="AN39" s="75"/>
      <c r="AO39" s="13" t="s">
        <v>208</v>
      </c>
      <c r="AP39" s="275">
        <v>5.2</v>
      </c>
      <c r="AQ39" s="275">
        <f t="shared" si="4"/>
        <v>9.5799999999999983</v>
      </c>
      <c r="AR39" s="267">
        <f t="shared" si="0"/>
        <v>9.8699999999999992</v>
      </c>
      <c r="AS39" s="76" t="s">
        <v>316</v>
      </c>
      <c r="AT39" s="4">
        <v>43676</v>
      </c>
      <c r="AU39" s="223">
        <v>44044</v>
      </c>
      <c r="AV39" s="223" t="s">
        <v>309</v>
      </c>
      <c r="AW39" s="272">
        <f t="shared" si="1"/>
        <v>1.0302713987473906</v>
      </c>
      <c r="AX39" s="259" t="s">
        <v>202</v>
      </c>
      <c r="AY39" s="13" t="s">
        <v>315</v>
      </c>
    </row>
    <row r="40" spans="1:51" ht="41.25" customHeight="1" x14ac:dyDescent="0.25">
      <c r="A40" s="5">
        <v>31</v>
      </c>
      <c r="B40" s="88" t="s">
        <v>166</v>
      </c>
      <c r="C40" s="89">
        <v>61.4</v>
      </c>
      <c r="D40" s="75"/>
      <c r="E40" s="75">
        <v>14.78</v>
      </c>
      <c r="F40" s="75"/>
      <c r="G40" s="75"/>
      <c r="H40" s="16"/>
      <c r="I40" s="16"/>
      <c r="J40" s="75"/>
      <c r="K40" s="75"/>
      <c r="L40" s="95">
        <v>1</v>
      </c>
      <c r="M40" s="75"/>
      <c r="N40" s="75"/>
      <c r="O40" s="75" t="s">
        <v>34</v>
      </c>
      <c r="P40" s="75"/>
      <c r="Q40" s="75"/>
      <c r="R40" s="75"/>
      <c r="S40" s="75"/>
      <c r="T40" s="75"/>
      <c r="U40" s="25"/>
      <c r="V40" s="3"/>
      <c r="W40" s="7"/>
      <c r="X40" s="14"/>
      <c r="Y40" s="14"/>
      <c r="Z40" s="12"/>
      <c r="AA40" s="75">
        <v>8.24</v>
      </c>
      <c r="AB40" s="75">
        <v>14.78</v>
      </c>
      <c r="AC40" s="76" t="s">
        <v>310</v>
      </c>
      <c r="AD40" s="4">
        <v>43676</v>
      </c>
      <c r="AE40" s="223">
        <v>43678</v>
      </c>
      <c r="AF40" s="223" t="s">
        <v>309</v>
      </c>
      <c r="AG40" s="1" t="s">
        <v>201</v>
      </c>
      <c r="AH40" s="14"/>
      <c r="AI40" s="26">
        <f t="shared" si="2"/>
        <v>1.7936893203883495</v>
      </c>
      <c r="AJ40" s="26">
        <f t="shared" si="3"/>
        <v>1</v>
      </c>
      <c r="AK40" s="75" t="s">
        <v>202</v>
      </c>
      <c r="AL40" s="75" t="s">
        <v>31</v>
      </c>
      <c r="AM40" s="5">
        <v>100</v>
      </c>
      <c r="AN40" s="75"/>
      <c r="AO40" s="13" t="s">
        <v>208</v>
      </c>
      <c r="AP40" s="275">
        <v>5.2</v>
      </c>
      <c r="AQ40" s="275">
        <f t="shared" si="4"/>
        <v>9.5799999999999983</v>
      </c>
      <c r="AR40" s="267">
        <f t="shared" si="0"/>
        <v>9.8699999999999992</v>
      </c>
      <c r="AS40" s="76" t="s">
        <v>316</v>
      </c>
      <c r="AT40" s="4">
        <v>43676</v>
      </c>
      <c r="AU40" s="223">
        <v>44044</v>
      </c>
      <c r="AV40" s="223" t="s">
        <v>309</v>
      </c>
      <c r="AW40" s="272">
        <f t="shared" si="1"/>
        <v>1.0302713987473906</v>
      </c>
      <c r="AX40" s="259" t="s">
        <v>202</v>
      </c>
      <c r="AY40" s="13" t="s">
        <v>315</v>
      </c>
    </row>
    <row r="41" spans="1:51" ht="41.25" customHeight="1" x14ac:dyDescent="0.25">
      <c r="A41" s="5">
        <v>32</v>
      </c>
      <c r="B41" s="88" t="s">
        <v>167</v>
      </c>
      <c r="C41" s="89">
        <v>136.1</v>
      </c>
      <c r="D41" s="75"/>
      <c r="E41" s="75">
        <v>14.78</v>
      </c>
      <c r="F41" s="75"/>
      <c r="G41" s="75"/>
      <c r="H41" s="16"/>
      <c r="I41" s="16"/>
      <c r="J41" s="75"/>
      <c r="K41" s="75"/>
      <c r="L41" s="95">
        <v>1</v>
      </c>
      <c r="M41" s="75"/>
      <c r="N41" s="75"/>
      <c r="O41" s="75" t="s">
        <v>34</v>
      </c>
      <c r="P41" s="75"/>
      <c r="Q41" s="75"/>
      <c r="R41" s="75"/>
      <c r="S41" s="75"/>
      <c r="T41" s="75"/>
      <c r="U41" s="25"/>
      <c r="V41" s="3"/>
      <c r="W41" s="7"/>
      <c r="X41" s="14"/>
      <c r="Y41" s="14"/>
      <c r="Z41" s="12"/>
      <c r="AA41" s="75">
        <v>8.24</v>
      </c>
      <c r="AB41" s="75">
        <v>14.78</v>
      </c>
      <c r="AC41" s="76" t="s">
        <v>310</v>
      </c>
      <c r="AD41" s="4">
        <v>43676</v>
      </c>
      <c r="AE41" s="223">
        <v>43678</v>
      </c>
      <c r="AF41" s="223" t="s">
        <v>309</v>
      </c>
      <c r="AG41" s="1" t="s">
        <v>201</v>
      </c>
      <c r="AH41" s="14"/>
      <c r="AI41" s="26">
        <f t="shared" si="2"/>
        <v>1.7936893203883495</v>
      </c>
      <c r="AJ41" s="26">
        <f t="shared" si="3"/>
        <v>1</v>
      </c>
      <c r="AK41" s="75" t="s">
        <v>202</v>
      </c>
      <c r="AL41" s="75" t="s">
        <v>31</v>
      </c>
      <c r="AM41" s="5">
        <v>100</v>
      </c>
      <c r="AN41" s="75"/>
      <c r="AO41" s="13" t="s">
        <v>208</v>
      </c>
      <c r="AP41" s="275">
        <v>5.2</v>
      </c>
      <c r="AQ41" s="275">
        <f t="shared" si="4"/>
        <v>9.5799999999999983</v>
      </c>
      <c r="AR41" s="267">
        <f t="shared" si="0"/>
        <v>9.8699999999999992</v>
      </c>
      <c r="AS41" s="76" t="s">
        <v>316</v>
      </c>
      <c r="AT41" s="4">
        <v>43676</v>
      </c>
      <c r="AU41" s="223">
        <v>44044</v>
      </c>
      <c r="AV41" s="223" t="s">
        <v>309</v>
      </c>
      <c r="AW41" s="272">
        <f t="shared" si="1"/>
        <v>1.0302713987473906</v>
      </c>
      <c r="AX41" s="259" t="s">
        <v>202</v>
      </c>
      <c r="AY41" s="13" t="s">
        <v>315</v>
      </c>
    </row>
    <row r="42" spans="1:51" ht="41.25" customHeight="1" x14ac:dyDescent="0.25">
      <c r="A42" s="5">
        <v>33</v>
      </c>
      <c r="B42" s="88" t="s">
        <v>168</v>
      </c>
      <c r="C42" s="89">
        <v>88.2</v>
      </c>
      <c r="D42" s="75"/>
      <c r="E42" s="75">
        <v>14.78</v>
      </c>
      <c r="F42" s="75"/>
      <c r="G42" s="75"/>
      <c r="H42" s="16"/>
      <c r="I42" s="16"/>
      <c r="J42" s="75"/>
      <c r="K42" s="75"/>
      <c r="L42" s="95">
        <v>1</v>
      </c>
      <c r="M42" s="75"/>
      <c r="N42" s="75"/>
      <c r="O42" s="75" t="s">
        <v>34</v>
      </c>
      <c r="P42" s="75"/>
      <c r="Q42" s="75"/>
      <c r="R42" s="75"/>
      <c r="S42" s="75"/>
      <c r="T42" s="75"/>
      <c r="U42" s="25"/>
      <c r="V42" s="3"/>
      <c r="W42" s="7"/>
      <c r="X42" s="14"/>
      <c r="Y42" s="14"/>
      <c r="Z42" s="12"/>
      <c r="AA42" s="75">
        <v>8.24</v>
      </c>
      <c r="AB42" s="75">
        <v>14.78</v>
      </c>
      <c r="AC42" s="76" t="s">
        <v>310</v>
      </c>
      <c r="AD42" s="4">
        <v>43676</v>
      </c>
      <c r="AE42" s="223">
        <v>43678</v>
      </c>
      <c r="AF42" s="223" t="s">
        <v>309</v>
      </c>
      <c r="AG42" s="1" t="s">
        <v>201</v>
      </c>
      <c r="AH42" s="14"/>
      <c r="AI42" s="26">
        <f t="shared" si="2"/>
        <v>1.7936893203883495</v>
      </c>
      <c r="AJ42" s="26">
        <f t="shared" si="3"/>
        <v>1</v>
      </c>
      <c r="AK42" s="75" t="s">
        <v>202</v>
      </c>
      <c r="AL42" s="75" t="s">
        <v>31</v>
      </c>
      <c r="AM42" s="5">
        <v>50</v>
      </c>
      <c r="AN42" s="75"/>
      <c r="AO42" s="13" t="s">
        <v>208</v>
      </c>
      <c r="AP42" s="275">
        <v>5.2</v>
      </c>
      <c r="AQ42" s="275">
        <f t="shared" si="4"/>
        <v>9.5799999999999983</v>
      </c>
      <c r="AR42" s="267">
        <f t="shared" ref="AR42:AR66" si="5">ROUND(AQ42*1.03,2)</f>
        <v>9.8699999999999992</v>
      </c>
      <c r="AS42" s="76" t="s">
        <v>316</v>
      </c>
      <c r="AT42" s="4">
        <v>43676</v>
      </c>
      <c r="AU42" s="223">
        <v>44044</v>
      </c>
      <c r="AV42" s="223" t="s">
        <v>309</v>
      </c>
      <c r="AW42" s="272">
        <f t="shared" ref="AW42:AW66" si="6">AR42/AQ42</f>
        <v>1.0302713987473906</v>
      </c>
      <c r="AX42" s="259" t="s">
        <v>202</v>
      </c>
      <c r="AY42" s="13" t="s">
        <v>315</v>
      </c>
    </row>
    <row r="43" spans="1:51" ht="41.25" customHeight="1" x14ac:dyDescent="0.25">
      <c r="A43" s="5">
        <v>34</v>
      </c>
      <c r="B43" s="88" t="s">
        <v>169</v>
      </c>
      <c r="C43" s="89">
        <v>135.6</v>
      </c>
      <c r="D43" s="75"/>
      <c r="E43" s="75">
        <v>14.78</v>
      </c>
      <c r="F43" s="75"/>
      <c r="G43" s="75"/>
      <c r="H43" s="16"/>
      <c r="I43" s="16"/>
      <c r="J43" s="75"/>
      <c r="K43" s="75"/>
      <c r="L43" s="95">
        <v>1</v>
      </c>
      <c r="M43" s="75"/>
      <c r="N43" s="75"/>
      <c r="O43" s="75" t="s">
        <v>34</v>
      </c>
      <c r="P43" s="75"/>
      <c r="Q43" s="75"/>
      <c r="R43" s="75"/>
      <c r="S43" s="75"/>
      <c r="T43" s="75"/>
      <c r="U43" s="25"/>
      <c r="V43" s="3"/>
      <c r="W43" s="7"/>
      <c r="X43" s="14"/>
      <c r="Y43" s="14"/>
      <c r="Z43" s="12"/>
      <c r="AA43" s="75">
        <v>8.24</v>
      </c>
      <c r="AB43" s="75">
        <v>14.78</v>
      </c>
      <c r="AC43" s="76" t="s">
        <v>310</v>
      </c>
      <c r="AD43" s="4">
        <v>43676</v>
      </c>
      <c r="AE43" s="223">
        <v>43678</v>
      </c>
      <c r="AF43" s="223" t="s">
        <v>309</v>
      </c>
      <c r="AG43" s="1" t="s">
        <v>201</v>
      </c>
      <c r="AH43" s="14"/>
      <c r="AI43" s="26">
        <f t="shared" si="2"/>
        <v>1.7936893203883495</v>
      </c>
      <c r="AJ43" s="26">
        <f t="shared" si="3"/>
        <v>1</v>
      </c>
      <c r="AK43" s="75" t="s">
        <v>202</v>
      </c>
      <c r="AL43" s="75" t="s">
        <v>31</v>
      </c>
      <c r="AM43" s="5">
        <v>100</v>
      </c>
      <c r="AN43" s="75"/>
      <c r="AO43" s="13" t="s">
        <v>208</v>
      </c>
      <c r="AP43" s="275">
        <v>5.2</v>
      </c>
      <c r="AQ43" s="275">
        <f t="shared" si="4"/>
        <v>9.5799999999999983</v>
      </c>
      <c r="AR43" s="267">
        <f t="shared" si="5"/>
        <v>9.8699999999999992</v>
      </c>
      <c r="AS43" s="76" t="s">
        <v>316</v>
      </c>
      <c r="AT43" s="4">
        <v>43676</v>
      </c>
      <c r="AU43" s="223">
        <v>44044</v>
      </c>
      <c r="AV43" s="223" t="s">
        <v>309</v>
      </c>
      <c r="AW43" s="272">
        <f t="shared" si="6"/>
        <v>1.0302713987473906</v>
      </c>
      <c r="AX43" s="259" t="s">
        <v>202</v>
      </c>
      <c r="AY43" s="13" t="s">
        <v>315</v>
      </c>
    </row>
    <row r="44" spans="1:51" ht="41.25" customHeight="1" x14ac:dyDescent="0.25">
      <c r="A44" s="5">
        <v>35</v>
      </c>
      <c r="B44" s="88" t="s">
        <v>170</v>
      </c>
      <c r="C44" s="89">
        <v>83.6</v>
      </c>
      <c r="D44" s="75"/>
      <c r="E44" s="75">
        <v>14.78</v>
      </c>
      <c r="F44" s="75"/>
      <c r="G44" s="75"/>
      <c r="H44" s="16"/>
      <c r="I44" s="16"/>
      <c r="J44" s="75"/>
      <c r="K44" s="75"/>
      <c r="L44" s="95">
        <v>1</v>
      </c>
      <c r="M44" s="75"/>
      <c r="N44" s="75"/>
      <c r="O44" s="75" t="s">
        <v>34</v>
      </c>
      <c r="P44" s="75"/>
      <c r="Q44" s="75"/>
      <c r="R44" s="75"/>
      <c r="S44" s="75"/>
      <c r="T44" s="75"/>
      <c r="U44" s="25"/>
      <c r="V44" s="3"/>
      <c r="W44" s="7"/>
      <c r="X44" s="14"/>
      <c r="Y44" s="14"/>
      <c r="Z44" s="12"/>
      <c r="AA44" s="75">
        <v>8.24</v>
      </c>
      <c r="AB44" s="75">
        <v>14.78</v>
      </c>
      <c r="AC44" s="76" t="s">
        <v>310</v>
      </c>
      <c r="AD44" s="4">
        <v>43676</v>
      </c>
      <c r="AE44" s="223">
        <v>43678</v>
      </c>
      <c r="AF44" s="223" t="s">
        <v>309</v>
      </c>
      <c r="AG44" s="1" t="s">
        <v>201</v>
      </c>
      <c r="AH44" s="14"/>
      <c r="AI44" s="26">
        <f t="shared" si="2"/>
        <v>1.7936893203883495</v>
      </c>
      <c r="AJ44" s="26">
        <f t="shared" si="3"/>
        <v>1</v>
      </c>
      <c r="AK44" s="75" t="s">
        <v>202</v>
      </c>
      <c r="AL44" s="75" t="s">
        <v>31</v>
      </c>
      <c r="AM44" s="5">
        <v>100</v>
      </c>
      <c r="AN44" s="75"/>
      <c r="AO44" s="13" t="s">
        <v>208</v>
      </c>
      <c r="AP44" s="275">
        <v>5.2</v>
      </c>
      <c r="AQ44" s="275">
        <f t="shared" si="4"/>
        <v>9.5799999999999983</v>
      </c>
      <c r="AR44" s="267">
        <f t="shared" si="5"/>
        <v>9.8699999999999992</v>
      </c>
      <c r="AS44" s="76" t="s">
        <v>316</v>
      </c>
      <c r="AT44" s="4">
        <v>43676</v>
      </c>
      <c r="AU44" s="223">
        <v>44044</v>
      </c>
      <c r="AV44" s="223" t="s">
        <v>309</v>
      </c>
      <c r="AW44" s="272">
        <f t="shared" si="6"/>
        <v>1.0302713987473906</v>
      </c>
      <c r="AX44" s="259" t="s">
        <v>202</v>
      </c>
      <c r="AY44" s="13" t="s">
        <v>315</v>
      </c>
    </row>
    <row r="45" spans="1:51" ht="41.25" customHeight="1" x14ac:dyDescent="0.25">
      <c r="A45" s="5">
        <v>36</v>
      </c>
      <c r="B45" s="88" t="s">
        <v>171</v>
      </c>
      <c r="C45" s="89">
        <v>57.8</v>
      </c>
      <c r="D45" s="75"/>
      <c r="E45" s="75">
        <v>14.78</v>
      </c>
      <c r="F45" s="75"/>
      <c r="G45" s="75"/>
      <c r="H45" s="16"/>
      <c r="I45" s="16"/>
      <c r="J45" s="75"/>
      <c r="K45" s="75"/>
      <c r="L45" s="95">
        <v>1</v>
      </c>
      <c r="M45" s="75"/>
      <c r="N45" s="75"/>
      <c r="O45" s="75" t="s">
        <v>34</v>
      </c>
      <c r="P45" s="75"/>
      <c r="Q45" s="75"/>
      <c r="R45" s="75"/>
      <c r="S45" s="75"/>
      <c r="T45" s="75"/>
      <c r="U45" s="25"/>
      <c r="V45" s="3"/>
      <c r="W45" s="7"/>
      <c r="X45" s="14"/>
      <c r="Y45" s="14"/>
      <c r="Z45" s="12"/>
      <c r="AA45" s="75">
        <v>8.24</v>
      </c>
      <c r="AB45" s="75">
        <v>14.78</v>
      </c>
      <c r="AC45" s="76" t="s">
        <v>310</v>
      </c>
      <c r="AD45" s="4">
        <v>43676</v>
      </c>
      <c r="AE45" s="223">
        <v>43678</v>
      </c>
      <c r="AF45" s="223" t="s">
        <v>309</v>
      </c>
      <c r="AG45" s="1" t="s">
        <v>201</v>
      </c>
      <c r="AH45" s="14"/>
      <c r="AI45" s="26">
        <f t="shared" si="2"/>
        <v>1.7936893203883495</v>
      </c>
      <c r="AJ45" s="26">
        <f t="shared" si="3"/>
        <v>1</v>
      </c>
      <c r="AK45" s="75" t="s">
        <v>202</v>
      </c>
      <c r="AL45" s="75" t="s">
        <v>31</v>
      </c>
      <c r="AM45" s="5">
        <v>100</v>
      </c>
      <c r="AN45" s="75"/>
      <c r="AO45" s="13" t="s">
        <v>208</v>
      </c>
      <c r="AP45" s="275">
        <v>5.2</v>
      </c>
      <c r="AQ45" s="275">
        <f t="shared" si="4"/>
        <v>9.5799999999999983</v>
      </c>
      <c r="AR45" s="267">
        <f t="shared" si="5"/>
        <v>9.8699999999999992</v>
      </c>
      <c r="AS45" s="76" t="s">
        <v>316</v>
      </c>
      <c r="AT45" s="4">
        <v>43676</v>
      </c>
      <c r="AU45" s="223">
        <v>44044</v>
      </c>
      <c r="AV45" s="223" t="s">
        <v>309</v>
      </c>
      <c r="AW45" s="272">
        <f t="shared" si="6"/>
        <v>1.0302713987473906</v>
      </c>
      <c r="AX45" s="259" t="s">
        <v>202</v>
      </c>
      <c r="AY45" s="13" t="s">
        <v>315</v>
      </c>
    </row>
    <row r="46" spans="1:51" ht="41.25" customHeight="1" x14ac:dyDescent="0.25">
      <c r="A46" s="5">
        <v>37</v>
      </c>
      <c r="B46" s="88" t="s">
        <v>172</v>
      </c>
      <c r="C46" s="89">
        <v>61.7</v>
      </c>
      <c r="D46" s="75"/>
      <c r="E46" s="75">
        <v>14.78</v>
      </c>
      <c r="F46" s="75"/>
      <c r="G46" s="75"/>
      <c r="H46" s="16"/>
      <c r="I46" s="16"/>
      <c r="J46" s="75"/>
      <c r="K46" s="75"/>
      <c r="L46" s="95">
        <v>1</v>
      </c>
      <c r="M46" s="75"/>
      <c r="N46" s="75"/>
      <c r="O46" s="75" t="s">
        <v>34</v>
      </c>
      <c r="P46" s="75"/>
      <c r="Q46" s="75"/>
      <c r="R46" s="75"/>
      <c r="S46" s="75"/>
      <c r="T46" s="75"/>
      <c r="U46" s="25"/>
      <c r="V46" s="3"/>
      <c r="W46" s="7"/>
      <c r="X46" s="14"/>
      <c r="Y46" s="14"/>
      <c r="Z46" s="12"/>
      <c r="AA46" s="75">
        <v>8.24</v>
      </c>
      <c r="AB46" s="75">
        <v>14.78</v>
      </c>
      <c r="AC46" s="76" t="s">
        <v>310</v>
      </c>
      <c r="AD46" s="4">
        <v>43676</v>
      </c>
      <c r="AE46" s="223">
        <v>43678</v>
      </c>
      <c r="AF46" s="223" t="s">
        <v>309</v>
      </c>
      <c r="AG46" s="1" t="s">
        <v>201</v>
      </c>
      <c r="AH46" s="14"/>
      <c r="AI46" s="26">
        <f t="shared" si="2"/>
        <v>1.7936893203883495</v>
      </c>
      <c r="AJ46" s="26">
        <f t="shared" si="3"/>
        <v>1</v>
      </c>
      <c r="AK46" s="75" t="s">
        <v>202</v>
      </c>
      <c r="AL46" s="75" t="s">
        <v>31</v>
      </c>
      <c r="AM46" s="5">
        <v>50</v>
      </c>
      <c r="AN46" s="75"/>
      <c r="AO46" s="13" t="s">
        <v>208</v>
      </c>
      <c r="AP46" s="275">
        <v>5.2</v>
      </c>
      <c r="AQ46" s="275">
        <f t="shared" si="4"/>
        <v>9.5799999999999983</v>
      </c>
      <c r="AR46" s="267">
        <f t="shared" si="5"/>
        <v>9.8699999999999992</v>
      </c>
      <c r="AS46" s="76" t="s">
        <v>316</v>
      </c>
      <c r="AT46" s="4">
        <v>43676</v>
      </c>
      <c r="AU46" s="223">
        <v>44044</v>
      </c>
      <c r="AV46" s="223" t="s">
        <v>309</v>
      </c>
      <c r="AW46" s="272">
        <f t="shared" si="6"/>
        <v>1.0302713987473906</v>
      </c>
      <c r="AX46" s="259" t="s">
        <v>202</v>
      </c>
      <c r="AY46" s="13" t="s">
        <v>315</v>
      </c>
    </row>
    <row r="47" spans="1:51" ht="41.25" customHeight="1" x14ac:dyDescent="0.25">
      <c r="A47" s="5">
        <v>38</v>
      </c>
      <c r="B47" s="88" t="s">
        <v>173</v>
      </c>
      <c r="C47" s="89">
        <v>56.5</v>
      </c>
      <c r="D47" s="75"/>
      <c r="E47" s="75">
        <v>14.78</v>
      </c>
      <c r="F47" s="75"/>
      <c r="G47" s="75"/>
      <c r="H47" s="16"/>
      <c r="I47" s="16"/>
      <c r="J47" s="75"/>
      <c r="K47" s="75"/>
      <c r="L47" s="95">
        <v>1</v>
      </c>
      <c r="M47" s="75"/>
      <c r="N47" s="75"/>
      <c r="O47" s="75" t="s">
        <v>34</v>
      </c>
      <c r="P47" s="75"/>
      <c r="Q47" s="75"/>
      <c r="R47" s="75"/>
      <c r="S47" s="75"/>
      <c r="T47" s="75"/>
      <c r="U47" s="25"/>
      <c r="V47" s="3"/>
      <c r="W47" s="7"/>
      <c r="X47" s="14"/>
      <c r="Y47" s="14"/>
      <c r="Z47" s="12"/>
      <c r="AA47" s="75">
        <v>8.24</v>
      </c>
      <c r="AB47" s="75">
        <v>14.78</v>
      </c>
      <c r="AC47" s="76" t="s">
        <v>310</v>
      </c>
      <c r="AD47" s="4">
        <v>43676</v>
      </c>
      <c r="AE47" s="223">
        <v>43678</v>
      </c>
      <c r="AF47" s="223" t="s">
        <v>309</v>
      </c>
      <c r="AG47" s="1" t="s">
        <v>201</v>
      </c>
      <c r="AH47" s="14"/>
      <c r="AI47" s="26">
        <f t="shared" si="2"/>
        <v>1.7936893203883495</v>
      </c>
      <c r="AJ47" s="26">
        <f t="shared" si="3"/>
        <v>1</v>
      </c>
      <c r="AK47" s="75" t="s">
        <v>202</v>
      </c>
      <c r="AL47" s="75" t="s">
        <v>31</v>
      </c>
      <c r="AM47" s="5">
        <v>100</v>
      </c>
      <c r="AN47" s="75"/>
      <c r="AO47" s="13" t="s">
        <v>208</v>
      </c>
      <c r="AP47" s="275">
        <v>5.2</v>
      </c>
      <c r="AQ47" s="275">
        <f t="shared" si="4"/>
        <v>9.5799999999999983</v>
      </c>
      <c r="AR47" s="267">
        <f t="shared" si="5"/>
        <v>9.8699999999999992</v>
      </c>
      <c r="AS47" s="76" t="s">
        <v>316</v>
      </c>
      <c r="AT47" s="4">
        <v>43676</v>
      </c>
      <c r="AU47" s="223">
        <v>44044</v>
      </c>
      <c r="AV47" s="223" t="s">
        <v>309</v>
      </c>
      <c r="AW47" s="272">
        <f t="shared" si="6"/>
        <v>1.0302713987473906</v>
      </c>
      <c r="AX47" s="259" t="s">
        <v>202</v>
      </c>
      <c r="AY47" s="13" t="s">
        <v>315</v>
      </c>
    </row>
    <row r="48" spans="1:51" ht="41.25" customHeight="1" x14ac:dyDescent="0.25">
      <c r="A48" s="5">
        <v>39</v>
      </c>
      <c r="B48" s="88" t="s">
        <v>174</v>
      </c>
      <c r="C48" s="89">
        <v>61</v>
      </c>
      <c r="D48" s="75"/>
      <c r="E48" s="75">
        <v>14.78</v>
      </c>
      <c r="F48" s="75"/>
      <c r="G48" s="75"/>
      <c r="H48" s="16"/>
      <c r="I48" s="16"/>
      <c r="J48" s="75"/>
      <c r="K48" s="75"/>
      <c r="L48" s="95">
        <v>1</v>
      </c>
      <c r="M48" s="75"/>
      <c r="N48" s="75"/>
      <c r="O48" s="75" t="s">
        <v>34</v>
      </c>
      <c r="P48" s="75"/>
      <c r="Q48" s="75"/>
      <c r="R48" s="75"/>
      <c r="S48" s="75"/>
      <c r="T48" s="75"/>
      <c r="U48" s="25"/>
      <c r="V48" s="3"/>
      <c r="W48" s="7"/>
      <c r="X48" s="14"/>
      <c r="Y48" s="14"/>
      <c r="Z48" s="12"/>
      <c r="AA48" s="75">
        <v>8.24</v>
      </c>
      <c r="AB48" s="75">
        <v>14.78</v>
      </c>
      <c r="AC48" s="76" t="s">
        <v>310</v>
      </c>
      <c r="AD48" s="4">
        <v>43676</v>
      </c>
      <c r="AE48" s="223">
        <v>43678</v>
      </c>
      <c r="AF48" s="223" t="s">
        <v>309</v>
      </c>
      <c r="AG48" s="1" t="s">
        <v>201</v>
      </c>
      <c r="AH48" s="14"/>
      <c r="AI48" s="26">
        <f t="shared" si="2"/>
        <v>1.7936893203883495</v>
      </c>
      <c r="AJ48" s="26">
        <f t="shared" si="3"/>
        <v>1</v>
      </c>
      <c r="AK48" s="75" t="s">
        <v>202</v>
      </c>
      <c r="AL48" s="75" t="s">
        <v>31</v>
      </c>
      <c r="AM48" s="5">
        <v>100</v>
      </c>
      <c r="AN48" s="75"/>
      <c r="AO48" s="13" t="s">
        <v>208</v>
      </c>
      <c r="AP48" s="275">
        <v>5.2</v>
      </c>
      <c r="AQ48" s="275">
        <f t="shared" si="4"/>
        <v>9.5799999999999983</v>
      </c>
      <c r="AR48" s="267">
        <f t="shared" si="5"/>
        <v>9.8699999999999992</v>
      </c>
      <c r="AS48" s="76" t="s">
        <v>316</v>
      </c>
      <c r="AT48" s="4">
        <v>43676</v>
      </c>
      <c r="AU48" s="223">
        <v>44044</v>
      </c>
      <c r="AV48" s="223" t="s">
        <v>309</v>
      </c>
      <c r="AW48" s="272">
        <f t="shared" si="6"/>
        <v>1.0302713987473906</v>
      </c>
      <c r="AX48" s="259" t="s">
        <v>202</v>
      </c>
      <c r="AY48" s="13" t="s">
        <v>315</v>
      </c>
    </row>
    <row r="49" spans="1:51" ht="41.25" customHeight="1" x14ac:dyDescent="0.25">
      <c r="A49" s="5">
        <v>40</v>
      </c>
      <c r="B49" s="88" t="s">
        <v>175</v>
      </c>
      <c r="C49" s="89">
        <v>87.1</v>
      </c>
      <c r="D49" s="75"/>
      <c r="E49" s="75">
        <v>14.78</v>
      </c>
      <c r="F49" s="75"/>
      <c r="G49" s="75"/>
      <c r="H49" s="16"/>
      <c r="I49" s="16"/>
      <c r="J49" s="75"/>
      <c r="K49" s="75"/>
      <c r="L49" s="95">
        <v>1</v>
      </c>
      <c r="M49" s="75"/>
      <c r="N49" s="75"/>
      <c r="O49" s="75" t="s">
        <v>34</v>
      </c>
      <c r="P49" s="75"/>
      <c r="Q49" s="75"/>
      <c r="R49" s="75"/>
      <c r="S49" s="75"/>
      <c r="T49" s="75"/>
      <c r="U49" s="25"/>
      <c r="V49" s="3"/>
      <c r="W49" s="7"/>
      <c r="X49" s="14"/>
      <c r="Y49" s="14"/>
      <c r="Z49" s="12"/>
      <c r="AA49" s="75">
        <v>8.24</v>
      </c>
      <c r="AB49" s="75">
        <v>14.78</v>
      </c>
      <c r="AC49" s="76" t="s">
        <v>310</v>
      </c>
      <c r="AD49" s="4">
        <v>43676</v>
      </c>
      <c r="AE49" s="223">
        <v>43678</v>
      </c>
      <c r="AF49" s="223" t="s">
        <v>309</v>
      </c>
      <c r="AG49" s="1" t="s">
        <v>201</v>
      </c>
      <c r="AH49" s="14"/>
      <c r="AI49" s="26">
        <f t="shared" si="2"/>
        <v>1.7936893203883495</v>
      </c>
      <c r="AJ49" s="26">
        <f t="shared" si="3"/>
        <v>1</v>
      </c>
      <c r="AK49" s="75" t="s">
        <v>202</v>
      </c>
      <c r="AL49" s="75" t="s">
        <v>31</v>
      </c>
      <c r="AM49" s="5">
        <v>100</v>
      </c>
      <c r="AN49" s="75"/>
      <c r="AO49" s="13" t="s">
        <v>208</v>
      </c>
      <c r="AP49" s="275">
        <v>5.2</v>
      </c>
      <c r="AQ49" s="275">
        <f t="shared" si="4"/>
        <v>9.5799999999999983</v>
      </c>
      <c r="AR49" s="267">
        <f t="shared" si="5"/>
        <v>9.8699999999999992</v>
      </c>
      <c r="AS49" s="76" t="s">
        <v>316</v>
      </c>
      <c r="AT49" s="4">
        <v>43676</v>
      </c>
      <c r="AU49" s="223">
        <v>44044</v>
      </c>
      <c r="AV49" s="223" t="s">
        <v>309</v>
      </c>
      <c r="AW49" s="272">
        <f t="shared" si="6"/>
        <v>1.0302713987473906</v>
      </c>
      <c r="AX49" s="259" t="s">
        <v>202</v>
      </c>
      <c r="AY49" s="13" t="s">
        <v>315</v>
      </c>
    </row>
    <row r="50" spans="1:51" ht="41.25" customHeight="1" x14ac:dyDescent="0.25">
      <c r="A50" s="5">
        <v>41</v>
      </c>
      <c r="B50" s="88" t="s">
        <v>176</v>
      </c>
      <c r="C50" s="89">
        <v>61.5</v>
      </c>
      <c r="D50" s="75"/>
      <c r="E50" s="75">
        <v>14.78</v>
      </c>
      <c r="F50" s="75"/>
      <c r="G50" s="75"/>
      <c r="H50" s="16"/>
      <c r="I50" s="16"/>
      <c r="J50" s="75"/>
      <c r="K50" s="75"/>
      <c r="L50" s="95">
        <v>1</v>
      </c>
      <c r="M50" s="75"/>
      <c r="N50" s="75"/>
      <c r="O50" s="75" t="s">
        <v>34</v>
      </c>
      <c r="P50" s="75"/>
      <c r="Q50" s="75"/>
      <c r="R50" s="75"/>
      <c r="S50" s="75"/>
      <c r="T50" s="75"/>
      <c r="U50" s="25"/>
      <c r="V50" s="3"/>
      <c r="W50" s="7"/>
      <c r="X50" s="14"/>
      <c r="Y50" s="14"/>
      <c r="Z50" s="12"/>
      <c r="AA50" s="75">
        <v>8.24</v>
      </c>
      <c r="AB50" s="75">
        <v>14.78</v>
      </c>
      <c r="AC50" s="76" t="s">
        <v>310</v>
      </c>
      <c r="AD50" s="4">
        <v>43676</v>
      </c>
      <c r="AE50" s="223">
        <v>43678</v>
      </c>
      <c r="AF50" s="223" t="s">
        <v>309</v>
      </c>
      <c r="AG50" s="1" t="s">
        <v>201</v>
      </c>
      <c r="AH50" s="14"/>
      <c r="AI50" s="26">
        <f t="shared" si="2"/>
        <v>1.7936893203883495</v>
      </c>
      <c r="AJ50" s="26">
        <f t="shared" si="3"/>
        <v>1</v>
      </c>
      <c r="AK50" s="75" t="s">
        <v>202</v>
      </c>
      <c r="AL50" s="75" t="s">
        <v>31</v>
      </c>
      <c r="AM50" s="5">
        <v>100</v>
      </c>
      <c r="AN50" s="75"/>
      <c r="AO50" s="13" t="s">
        <v>208</v>
      </c>
      <c r="AP50" s="275">
        <v>5.2</v>
      </c>
      <c r="AQ50" s="275">
        <f t="shared" si="4"/>
        <v>9.5799999999999983</v>
      </c>
      <c r="AR50" s="267">
        <f t="shared" si="5"/>
        <v>9.8699999999999992</v>
      </c>
      <c r="AS50" s="76" t="s">
        <v>316</v>
      </c>
      <c r="AT50" s="4">
        <v>43676</v>
      </c>
      <c r="AU50" s="223">
        <v>44044</v>
      </c>
      <c r="AV50" s="223" t="s">
        <v>309</v>
      </c>
      <c r="AW50" s="272">
        <f t="shared" si="6"/>
        <v>1.0302713987473906</v>
      </c>
      <c r="AX50" s="259" t="s">
        <v>202</v>
      </c>
      <c r="AY50" s="13" t="s">
        <v>315</v>
      </c>
    </row>
    <row r="51" spans="1:51" ht="41.25" customHeight="1" x14ac:dyDescent="0.25">
      <c r="A51" s="5">
        <v>42</v>
      </c>
      <c r="B51" s="88" t="s">
        <v>177</v>
      </c>
      <c r="C51" s="89">
        <v>58.1</v>
      </c>
      <c r="D51" s="75"/>
      <c r="E51" s="75">
        <v>14.78</v>
      </c>
      <c r="F51" s="75"/>
      <c r="G51" s="75"/>
      <c r="H51" s="16"/>
      <c r="I51" s="16"/>
      <c r="J51" s="75"/>
      <c r="K51" s="75"/>
      <c r="L51" s="95">
        <v>1</v>
      </c>
      <c r="M51" s="75"/>
      <c r="N51" s="75"/>
      <c r="O51" s="75" t="s">
        <v>34</v>
      </c>
      <c r="P51" s="75"/>
      <c r="Q51" s="75"/>
      <c r="R51" s="75"/>
      <c r="S51" s="75"/>
      <c r="T51" s="75"/>
      <c r="U51" s="25"/>
      <c r="V51" s="3"/>
      <c r="W51" s="7"/>
      <c r="X51" s="14"/>
      <c r="Y51" s="14"/>
      <c r="Z51" s="12"/>
      <c r="AA51" s="75">
        <v>8.24</v>
      </c>
      <c r="AB51" s="75">
        <v>14.78</v>
      </c>
      <c r="AC51" s="76" t="s">
        <v>310</v>
      </c>
      <c r="AD51" s="4">
        <v>43676</v>
      </c>
      <c r="AE51" s="223">
        <v>43678</v>
      </c>
      <c r="AF51" s="223" t="s">
        <v>309</v>
      </c>
      <c r="AG51" s="1" t="s">
        <v>201</v>
      </c>
      <c r="AH51" s="14"/>
      <c r="AI51" s="26">
        <f t="shared" si="2"/>
        <v>1.7936893203883495</v>
      </c>
      <c r="AJ51" s="26">
        <f t="shared" si="3"/>
        <v>1</v>
      </c>
      <c r="AK51" s="75" t="s">
        <v>202</v>
      </c>
      <c r="AL51" s="75" t="s">
        <v>31</v>
      </c>
      <c r="AM51" s="5">
        <v>100</v>
      </c>
      <c r="AN51" s="75"/>
      <c r="AO51" s="13" t="s">
        <v>208</v>
      </c>
      <c r="AP51" s="275">
        <v>5.2</v>
      </c>
      <c r="AQ51" s="275">
        <f t="shared" si="4"/>
        <v>9.5799999999999983</v>
      </c>
      <c r="AR51" s="267">
        <f t="shared" si="5"/>
        <v>9.8699999999999992</v>
      </c>
      <c r="AS51" s="76" t="s">
        <v>316</v>
      </c>
      <c r="AT51" s="4">
        <v>43676</v>
      </c>
      <c r="AU51" s="223">
        <v>44044</v>
      </c>
      <c r="AV51" s="223" t="s">
        <v>309</v>
      </c>
      <c r="AW51" s="272">
        <f t="shared" si="6"/>
        <v>1.0302713987473906</v>
      </c>
      <c r="AX51" s="259" t="s">
        <v>202</v>
      </c>
      <c r="AY51" s="13" t="s">
        <v>315</v>
      </c>
    </row>
    <row r="52" spans="1:51" ht="41.25" customHeight="1" x14ac:dyDescent="0.25">
      <c r="A52" s="5">
        <v>43</v>
      </c>
      <c r="B52" s="88" t="s">
        <v>178</v>
      </c>
      <c r="C52" s="89">
        <v>59.8</v>
      </c>
      <c r="D52" s="75"/>
      <c r="E52" s="75">
        <v>14.78</v>
      </c>
      <c r="F52" s="75"/>
      <c r="G52" s="75"/>
      <c r="H52" s="16"/>
      <c r="I52" s="16"/>
      <c r="J52" s="75"/>
      <c r="K52" s="75"/>
      <c r="L52" s="95">
        <v>1</v>
      </c>
      <c r="M52" s="75"/>
      <c r="N52" s="75"/>
      <c r="O52" s="75" t="s">
        <v>34</v>
      </c>
      <c r="P52" s="75"/>
      <c r="Q52" s="75"/>
      <c r="R52" s="75"/>
      <c r="S52" s="75"/>
      <c r="T52" s="75"/>
      <c r="U52" s="25"/>
      <c r="V52" s="3"/>
      <c r="W52" s="7"/>
      <c r="X52" s="14"/>
      <c r="Y52" s="14"/>
      <c r="Z52" s="12"/>
      <c r="AA52" s="75">
        <v>8.24</v>
      </c>
      <c r="AB52" s="75">
        <v>14.78</v>
      </c>
      <c r="AC52" s="76" t="s">
        <v>310</v>
      </c>
      <c r="AD52" s="4">
        <v>43676</v>
      </c>
      <c r="AE52" s="223">
        <v>43678</v>
      </c>
      <c r="AF52" s="223" t="s">
        <v>309</v>
      </c>
      <c r="AG52" s="1" t="s">
        <v>201</v>
      </c>
      <c r="AH52" s="14"/>
      <c r="AI52" s="26">
        <f t="shared" si="2"/>
        <v>1.7936893203883495</v>
      </c>
      <c r="AJ52" s="26">
        <f t="shared" si="3"/>
        <v>1</v>
      </c>
      <c r="AK52" s="75" t="s">
        <v>202</v>
      </c>
      <c r="AL52" s="75" t="s">
        <v>31</v>
      </c>
      <c r="AM52" s="5">
        <v>100</v>
      </c>
      <c r="AN52" s="75"/>
      <c r="AO52" s="13" t="s">
        <v>208</v>
      </c>
      <c r="AP52" s="275">
        <v>5.2</v>
      </c>
      <c r="AQ52" s="275">
        <f t="shared" si="4"/>
        <v>9.5799999999999983</v>
      </c>
      <c r="AR52" s="267">
        <f t="shared" si="5"/>
        <v>9.8699999999999992</v>
      </c>
      <c r="AS52" s="76" t="s">
        <v>316</v>
      </c>
      <c r="AT52" s="4">
        <v>43676</v>
      </c>
      <c r="AU52" s="223">
        <v>44044</v>
      </c>
      <c r="AV52" s="223" t="s">
        <v>309</v>
      </c>
      <c r="AW52" s="272">
        <f t="shared" si="6"/>
        <v>1.0302713987473906</v>
      </c>
      <c r="AX52" s="259" t="s">
        <v>202</v>
      </c>
      <c r="AY52" s="13" t="s">
        <v>315</v>
      </c>
    </row>
    <row r="53" spans="1:51" ht="41.25" customHeight="1" x14ac:dyDescent="0.25">
      <c r="A53" s="5">
        <v>44</v>
      </c>
      <c r="B53" s="88" t="s">
        <v>179</v>
      </c>
      <c r="C53" s="89">
        <v>74.599999999999994</v>
      </c>
      <c r="D53" s="75"/>
      <c r="E53" s="75">
        <v>14.78</v>
      </c>
      <c r="F53" s="75"/>
      <c r="G53" s="75"/>
      <c r="H53" s="16"/>
      <c r="I53" s="16"/>
      <c r="J53" s="75"/>
      <c r="K53" s="75"/>
      <c r="L53" s="95">
        <v>1</v>
      </c>
      <c r="M53" s="75"/>
      <c r="N53" s="75"/>
      <c r="O53" s="75" t="s">
        <v>34</v>
      </c>
      <c r="P53" s="75"/>
      <c r="Q53" s="75"/>
      <c r="R53" s="75"/>
      <c r="S53" s="75"/>
      <c r="T53" s="75"/>
      <c r="U53" s="25"/>
      <c r="V53" s="3"/>
      <c r="W53" s="7"/>
      <c r="X53" s="14"/>
      <c r="Y53" s="14"/>
      <c r="Z53" s="12"/>
      <c r="AA53" s="75">
        <v>8.24</v>
      </c>
      <c r="AB53" s="75">
        <v>14.78</v>
      </c>
      <c r="AC53" s="76" t="s">
        <v>310</v>
      </c>
      <c r="AD53" s="4">
        <v>43676</v>
      </c>
      <c r="AE53" s="223">
        <v>43678</v>
      </c>
      <c r="AF53" s="223" t="s">
        <v>309</v>
      </c>
      <c r="AG53" s="1" t="s">
        <v>201</v>
      </c>
      <c r="AH53" s="14"/>
      <c r="AI53" s="26">
        <f t="shared" si="2"/>
        <v>1.7936893203883495</v>
      </c>
      <c r="AJ53" s="26">
        <f t="shared" si="3"/>
        <v>1</v>
      </c>
      <c r="AK53" s="75" t="s">
        <v>202</v>
      </c>
      <c r="AL53" s="75" t="s">
        <v>31</v>
      </c>
      <c r="AM53" s="5">
        <v>100</v>
      </c>
      <c r="AN53" s="75"/>
      <c r="AO53" s="13" t="s">
        <v>208</v>
      </c>
      <c r="AP53" s="275">
        <v>5.2</v>
      </c>
      <c r="AQ53" s="275">
        <f t="shared" si="4"/>
        <v>9.5799999999999983</v>
      </c>
      <c r="AR53" s="267">
        <f t="shared" si="5"/>
        <v>9.8699999999999992</v>
      </c>
      <c r="AS53" s="76" t="s">
        <v>316</v>
      </c>
      <c r="AT53" s="4">
        <v>43676</v>
      </c>
      <c r="AU53" s="223">
        <v>44044</v>
      </c>
      <c r="AV53" s="223" t="s">
        <v>309</v>
      </c>
      <c r="AW53" s="272">
        <f t="shared" si="6"/>
        <v>1.0302713987473906</v>
      </c>
      <c r="AX53" s="259" t="s">
        <v>202</v>
      </c>
      <c r="AY53" s="13" t="s">
        <v>315</v>
      </c>
    </row>
    <row r="54" spans="1:51" ht="41.25" customHeight="1" x14ac:dyDescent="0.25">
      <c r="A54" s="5">
        <v>45</v>
      </c>
      <c r="B54" s="88" t="s">
        <v>180</v>
      </c>
      <c r="C54" s="89">
        <v>79.2</v>
      </c>
      <c r="D54" s="75"/>
      <c r="E54" s="75">
        <v>14.78</v>
      </c>
      <c r="F54" s="75"/>
      <c r="G54" s="75"/>
      <c r="H54" s="16"/>
      <c r="I54" s="16"/>
      <c r="J54" s="75"/>
      <c r="K54" s="75"/>
      <c r="L54" s="95">
        <v>1</v>
      </c>
      <c r="M54" s="75"/>
      <c r="N54" s="75"/>
      <c r="O54" s="75" t="s">
        <v>34</v>
      </c>
      <c r="P54" s="75"/>
      <c r="Q54" s="75"/>
      <c r="R54" s="75"/>
      <c r="S54" s="75"/>
      <c r="T54" s="75"/>
      <c r="U54" s="25"/>
      <c r="V54" s="3"/>
      <c r="W54" s="7"/>
      <c r="X54" s="14"/>
      <c r="Y54" s="14"/>
      <c r="Z54" s="12"/>
      <c r="AA54" s="75">
        <v>8.24</v>
      </c>
      <c r="AB54" s="75">
        <v>14.78</v>
      </c>
      <c r="AC54" s="76" t="s">
        <v>310</v>
      </c>
      <c r="AD54" s="4">
        <v>43676</v>
      </c>
      <c r="AE54" s="223">
        <v>43678</v>
      </c>
      <c r="AF54" s="223" t="s">
        <v>309</v>
      </c>
      <c r="AG54" s="1" t="s">
        <v>201</v>
      </c>
      <c r="AH54" s="14"/>
      <c r="AI54" s="26">
        <f t="shared" si="2"/>
        <v>1.7936893203883495</v>
      </c>
      <c r="AJ54" s="26">
        <f t="shared" si="3"/>
        <v>1</v>
      </c>
      <c r="AK54" s="75" t="s">
        <v>202</v>
      </c>
      <c r="AL54" s="75" t="s">
        <v>31</v>
      </c>
      <c r="AM54" s="5">
        <v>100</v>
      </c>
      <c r="AN54" s="75"/>
      <c r="AO54" s="13" t="s">
        <v>208</v>
      </c>
      <c r="AP54" s="275">
        <v>5.2</v>
      </c>
      <c r="AQ54" s="275">
        <f t="shared" si="4"/>
        <v>9.5799999999999983</v>
      </c>
      <c r="AR54" s="267">
        <f t="shared" si="5"/>
        <v>9.8699999999999992</v>
      </c>
      <c r="AS54" s="76" t="s">
        <v>316</v>
      </c>
      <c r="AT54" s="4">
        <v>43676</v>
      </c>
      <c r="AU54" s="223">
        <v>44044</v>
      </c>
      <c r="AV54" s="223" t="s">
        <v>309</v>
      </c>
      <c r="AW54" s="272">
        <f t="shared" si="6"/>
        <v>1.0302713987473906</v>
      </c>
      <c r="AX54" s="259" t="s">
        <v>202</v>
      </c>
      <c r="AY54" s="13" t="s">
        <v>315</v>
      </c>
    </row>
    <row r="55" spans="1:51" ht="41.25" customHeight="1" x14ac:dyDescent="0.25">
      <c r="A55" s="5">
        <v>46</v>
      </c>
      <c r="B55" s="88" t="s">
        <v>181</v>
      </c>
      <c r="C55" s="89">
        <v>79.8</v>
      </c>
      <c r="D55" s="75"/>
      <c r="E55" s="75">
        <v>14.78</v>
      </c>
      <c r="F55" s="75"/>
      <c r="G55" s="75"/>
      <c r="H55" s="16"/>
      <c r="I55" s="16"/>
      <c r="J55" s="75"/>
      <c r="K55" s="75"/>
      <c r="L55" s="95">
        <v>1</v>
      </c>
      <c r="M55" s="75"/>
      <c r="N55" s="75"/>
      <c r="O55" s="75" t="s">
        <v>34</v>
      </c>
      <c r="P55" s="75"/>
      <c r="Q55" s="75"/>
      <c r="R55" s="75"/>
      <c r="S55" s="75"/>
      <c r="T55" s="75"/>
      <c r="U55" s="25"/>
      <c r="V55" s="3"/>
      <c r="W55" s="7"/>
      <c r="X55" s="14"/>
      <c r="Y55" s="14"/>
      <c r="Z55" s="12"/>
      <c r="AA55" s="75">
        <v>8.24</v>
      </c>
      <c r="AB55" s="75">
        <v>14.78</v>
      </c>
      <c r="AC55" s="76" t="s">
        <v>310</v>
      </c>
      <c r="AD55" s="4">
        <v>43676</v>
      </c>
      <c r="AE55" s="223">
        <v>43678</v>
      </c>
      <c r="AF55" s="223" t="s">
        <v>309</v>
      </c>
      <c r="AG55" s="1" t="s">
        <v>201</v>
      </c>
      <c r="AH55" s="14"/>
      <c r="AI55" s="26">
        <f t="shared" si="2"/>
        <v>1.7936893203883495</v>
      </c>
      <c r="AJ55" s="26">
        <f t="shared" si="3"/>
        <v>1</v>
      </c>
      <c r="AK55" s="75" t="s">
        <v>202</v>
      </c>
      <c r="AL55" s="75" t="s">
        <v>31</v>
      </c>
      <c r="AM55" s="5">
        <v>100</v>
      </c>
      <c r="AN55" s="75"/>
      <c r="AO55" s="13" t="s">
        <v>208</v>
      </c>
      <c r="AP55" s="275">
        <v>5.2</v>
      </c>
      <c r="AQ55" s="275">
        <f t="shared" si="4"/>
        <v>9.5799999999999983</v>
      </c>
      <c r="AR55" s="267">
        <f t="shared" si="5"/>
        <v>9.8699999999999992</v>
      </c>
      <c r="AS55" s="76" t="s">
        <v>316</v>
      </c>
      <c r="AT55" s="4">
        <v>43676</v>
      </c>
      <c r="AU55" s="223">
        <v>44044</v>
      </c>
      <c r="AV55" s="223" t="s">
        <v>309</v>
      </c>
      <c r="AW55" s="272">
        <f t="shared" si="6"/>
        <v>1.0302713987473906</v>
      </c>
      <c r="AX55" s="259" t="s">
        <v>202</v>
      </c>
      <c r="AY55" s="13" t="s">
        <v>315</v>
      </c>
    </row>
    <row r="56" spans="1:51" ht="41.25" customHeight="1" x14ac:dyDescent="0.25">
      <c r="A56" s="5">
        <v>47</v>
      </c>
      <c r="B56" s="88" t="s">
        <v>182</v>
      </c>
      <c r="C56" s="89">
        <v>78.599999999999994</v>
      </c>
      <c r="D56" s="75"/>
      <c r="E56" s="75">
        <v>14.78</v>
      </c>
      <c r="F56" s="75"/>
      <c r="G56" s="75"/>
      <c r="H56" s="16"/>
      <c r="I56" s="16"/>
      <c r="J56" s="75"/>
      <c r="K56" s="75"/>
      <c r="L56" s="95">
        <v>1</v>
      </c>
      <c r="M56" s="75"/>
      <c r="N56" s="75"/>
      <c r="O56" s="75" t="s">
        <v>34</v>
      </c>
      <c r="P56" s="75"/>
      <c r="Q56" s="75"/>
      <c r="R56" s="75"/>
      <c r="S56" s="75"/>
      <c r="T56" s="75"/>
      <c r="U56" s="25"/>
      <c r="V56" s="3"/>
      <c r="W56" s="7"/>
      <c r="X56" s="14"/>
      <c r="Y56" s="14"/>
      <c r="Z56" s="12"/>
      <c r="AA56" s="75">
        <v>8.24</v>
      </c>
      <c r="AB56" s="75">
        <v>14.78</v>
      </c>
      <c r="AC56" s="76" t="s">
        <v>310</v>
      </c>
      <c r="AD56" s="4">
        <v>43676</v>
      </c>
      <c r="AE56" s="223">
        <v>43678</v>
      </c>
      <c r="AF56" s="223" t="s">
        <v>309</v>
      </c>
      <c r="AG56" s="1" t="s">
        <v>201</v>
      </c>
      <c r="AH56" s="14"/>
      <c r="AI56" s="26">
        <f t="shared" si="2"/>
        <v>1.7936893203883495</v>
      </c>
      <c r="AJ56" s="26">
        <f t="shared" si="3"/>
        <v>1</v>
      </c>
      <c r="AK56" s="75" t="s">
        <v>202</v>
      </c>
      <c r="AL56" s="75" t="s">
        <v>31</v>
      </c>
      <c r="AM56" s="5">
        <v>51</v>
      </c>
      <c r="AN56" s="75"/>
      <c r="AO56" s="13" t="s">
        <v>208</v>
      </c>
      <c r="AP56" s="275">
        <v>5.2</v>
      </c>
      <c r="AQ56" s="275">
        <f t="shared" si="4"/>
        <v>9.5799999999999983</v>
      </c>
      <c r="AR56" s="267">
        <f t="shared" si="5"/>
        <v>9.8699999999999992</v>
      </c>
      <c r="AS56" s="76" t="s">
        <v>316</v>
      </c>
      <c r="AT56" s="4">
        <v>43676</v>
      </c>
      <c r="AU56" s="223">
        <v>44044</v>
      </c>
      <c r="AV56" s="223" t="s">
        <v>309</v>
      </c>
      <c r="AW56" s="272">
        <f t="shared" si="6"/>
        <v>1.0302713987473906</v>
      </c>
      <c r="AX56" s="259" t="s">
        <v>202</v>
      </c>
      <c r="AY56" s="13" t="s">
        <v>315</v>
      </c>
    </row>
    <row r="57" spans="1:51" ht="41.25" customHeight="1" x14ac:dyDescent="0.25">
      <c r="A57" s="5">
        <v>48</v>
      </c>
      <c r="B57" s="88" t="s">
        <v>183</v>
      </c>
      <c r="C57" s="89">
        <v>95.7</v>
      </c>
      <c r="D57" s="75"/>
      <c r="E57" s="75">
        <v>14.78</v>
      </c>
      <c r="F57" s="75"/>
      <c r="G57" s="75"/>
      <c r="H57" s="16"/>
      <c r="I57" s="16"/>
      <c r="J57" s="75"/>
      <c r="K57" s="75"/>
      <c r="L57" s="95">
        <v>1</v>
      </c>
      <c r="M57" s="75"/>
      <c r="N57" s="75"/>
      <c r="O57" s="75" t="s">
        <v>34</v>
      </c>
      <c r="P57" s="75"/>
      <c r="Q57" s="75"/>
      <c r="R57" s="75"/>
      <c r="S57" s="75"/>
      <c r="T57" s="75"/>
      <c r="U57" s="25"/>
      <c r="V57" s="3"/>
      <c r="W57" s="7"/>
      <c r="X57" s="14"/>
      <c r="Y57" s="14"/>
      <c r="Z57" s="12"/>
      <c r="AA57" s="75">
        <v>8.24</v>
      </c>
      <c r="AB57" s="75">
        <v>14.78</v>
      </c>
      <c r="AC57" s="76" t="s">
        <v>310</v>
      </c>
      <c r="AD57" s="4">
        <v>43676</v>
      </c>
      <c r="AE57" s="223">
        <v>43678</v>
      </c>
      <c r="AF57" s="223" t="s">
        <v>309</v>
      </c>
      <c r="AG57" s="1" t="s">
        <v>201</v>
      </c>
      <c r="AH57" s="14"/>
      <c r="AI57" s="26">
        <f t="shared" si="2"/>
        <v>1.7936893203883495</v>
      </c>
      <c r="AJ57" s="26">
        <f t="shared" si="3"/>
        <v>1</v>
      </c>
      <c r="AK57" s="75" t="s">
        <v>202</v>
      </c>
      <c r="AL57" s="75" t="s">
        <v>31</v>
      </c>
      <c r="AM57" s="5">
        <v>100</v>
      </c>
      <c r="AN57" s="75"/>
      <c r="AO57" s="13" t="s">
        <v>208</v>
      </c>
      <c r="AP57" s="275">
        <v>5.2</v>
      </c>
      <c r="AQ57" s="275">
        <f t="shared" si="4"/>
        <v>9.5799999999999983</v>
      </c>
      <c r="AR57" s="267">
        <f t="shared" si="5"/>
        <v>9.8699999999999992</v>
      </c>
      <c r="AS57" s="76" t="s">
        <v>316</v>
      </c>
      <c r="AT57" s="4">
        <v>43676</v>
      </c>
      <c r="AU57" s="223">
        <v>44044</v>
      </c>
      <c r="AV57" s="223" t="s">
        <v>309</v>
      </c>
      <c r="AW57" s="272">
        <f t="shared" si="6"/>
        <v>1.0302713987473906</v>
      </c>
      <c r="AX57" s="259" t="s">
        <v>202</v>
      </c>
      <c r="AY57" s="13" t="s">
        <v>315</v>
      </c>
    </row>
    <row r="58" spans="1:51" ht="41.25" customHeight="1" x14ac:dyDescent="0.25">
      <c r="A58" s="5">
        <v>49</v>
      </c>
      <c r="B58" s="88" t="s">
        <v>184</v>
      </c>
      <c r="C58" s="89">
        <v>79</v>
      </c>
      <c r="D58" s="75"/>
      <c r="E58" s="75">
        <v>14.78</v>
      </c>
      <c r="F58" s="75"/>
      <c r="G58" s="75"/>
      <c r="H58" s="16"/>
      <c r="I58" s="16"/>
      <c r="J58" s="75"/>
      <c r="K58" s="75"/>
      <c r="L58" s="95">
        <v>1</v>
      </c>
      <c r="M58" s="75"/>
      <c r="N58" s="75"/>
      <c r="O58" s="75" t="s">
        <v>34</v>
      </c>
      <c r="P58" s="75"/>
      <c r="Q58" s="75"/>
      <c r="R58" s="75"/>
      <c r="S58" s="75"/>
      <c r="T58" s="75"/>
      <c r="U58" s="25"/>
      <c r="V58" s="3"/>
      <c r="W58" s="7"/>
      <c r="X58" s="14"/>
      <c r="Y58" s="14"/>
      <c r="Z58" s="12"/>
      <c r="AA58" s="75">
        <v>8.24</v>
      </c>
      <c r="AB58" s="75">
        <v>14.78</v>
      </c>
      <c r="AC58" s="76" t="s">
        <v>310</v>
      </c>
      <c r="AD58" s="4">
        <v>43676</v>
      </c>
      <c r="AE58" s="223">
        <v>43678</v>
      </c>
      <c r="AF58" s="223" t="s">
        <v>309</v>
      </c>
      <c r="AG58" s="1" t="s">
        <v>201</v>
      </c>
      <c r="AH58" s="14"/>
      <c r="AI58" s="26">
        <f t="shared" si="2"/>
        <v>1.7936893203883495</v>
      </c>
      <c r="AJ58" s="26">
        <f t="shared" si="3"/>
        <v>1</v>
      </c>
      <c r="AK58" s="75" t="s">
        <v>202</v>
      </c>
      <c r="AL58" s="75" t="s">
        <v>31</v>
      </c>
      <c r="AM58" s="5">
        <v>100</v>
      </c>
      <c r="AN58" s="75"/>
      <c r="AO58" s="13" t="s">
        <v>208</v>
      </c>
      <c r="AP58" s="275">
        <v>5.2</v>
      </c>
      <c r="AQ58" s="275">
        <f t="shared" si="4"/>
        <v>9.5799999999999983</v>
      </c>
      <c r="AR58" s="267">
        <f t="shared" si="5"/>
        <v>9.8699999999999992</v>
      </c>
      <c r="AS58" s="76" t="s">
        <v>316</v>
      </c>
      <c r="AT58" s="4">
        <v>43676</v>
      </c>
      <c r="AU58" s="223">
        <v>44044</v>
      </c>
      <c r="AV58" s="223" t="s">
        <v>309</v>
      </c>
      <c r="AW58" s="272">
        <f t="shared" si="6"/>
        <v>1.0302713987473906</v>
      </c>
      <c r="AX58" s="259" t="s">
        <v>202</v>
      </c>
      <c r="AY58" s="13" t="s">
        <v>315</v>
      </c>
    </row>
    <row r="59" spans="1:51" ht="41.25" customHeight="1" x14ac:dyDescent="0.25">
      <c r="A59" s="5">
        <v>50</v>
      </c>
      <c r="B59" s="88" t="s">
        <v>185</v>
      </c>
      <c r="C59" s="89">
        <v>141.4</v>
      </c>
      <c r="D59" s="75"/>
      <c r="E59" s="75">
        <v>14.78</v>
      </c>
      <c r="F59" s="75"/>
      <c r="G59" s="75"/>
      <c r="H59" s="16"/>
      <c r="I59" s="16"/>
      <c r="J59" s="75"/>
      <c r="K59" s="75"/>
      <c r="L59" s="95">
        <v>1</v>
      </c>
      <c r="M59" s="75"/>
      <c r="N59" s="75"/>
      <c r="O59" s="75" t="s">
        <v>34</v>
      </c>
      <c r="P59" s="75"/>
      <c r="Q59" s="75"/>
      <c r="R59" s="75"/>
      <c r="S59" s="75"/>
      <c r="T59" s="75"/>
      <c r="U59" s="25"/>
      <c r="V59" s="3"/>
      <c r="W59" s="7"/>
      <c r="X59" s="14"/>
      <c r="Y59" s="14"/>
      <c r="Z59" s="12"/>
      <c r="AA59" s="75">
        <v>8.24</v>
      </c>
      <c r="AB59" s="75">
        <v>14.78</v>
      </c>
      <c r="AC59" s="76" t="s">
        <v>310</v>
      </c>
      <c r="AD59" s="4">
        <v>43676</v>
      </c>
      <c r="AE59" s="223">
        <v>43678</v>
      </c>
      <c r="AF59" s="223" t="s">
        <v>309</v>
      </c>
      <c r="AG59" s="1" t="s">
        <v>201</v>
      </c>
      <c r="AH59" s="14"/>
      <c r="AI59" s="26">
        <f t="shared" si="2"/>
        <v>1.7936893203883495</v>
      </c>
      <c r="AJ59" s="26">
        <f t="shared" si="3"/>
        <v>1</v>
      </c>
      <c r="AK59" s="75" t="s">
        <v>202</v>
      </c>
      <c r="AL59" s="75" t="s">
        <v>31</v>
      </c>
      <c r="AM59" s="5">
        <v>100</v>
      </c>
      <c r="AN59" s="75"/>
      <c r="AO59" s="13" t="s">
        <v>208</v>
      </c>
      <c r="AP59" s="275">
        <v>5.2</v>
      </c>
      <c r="AQ59" s="275">
        <f t="shared" si="4"/>
        <v>9.5799999999999983</v>
      </c>
      <c r="AR59" s="267">
        <f t="shared" si="5"/>
        <v>9.8699999999999992</v>
      </c>
      <c r="AS59" s="76" t="s">
        <v>316</v>
      </c>
      <c r="AT59" s="4">
        <v>43676</v>
      </c>
      <c r="AU59" s="223">
        <v>44044</v>
      </c>
      <c r="AV59" s="223" t="s">
        <v>309</v>
      </c>
      <c r="AW59" s="272">
        <f t="shared" si="6"/>
        <v>1.0302713987473906</v>
      </c>
      <c r="AX59" s="259" t="s">
        <v>202</v>
      </c>
      <c r="AY59" s="13" t="s">
        <v>315</v>
      </c>
    </row>
    <row r="60" spans="1:51" ht="41.25" customHeight="1" x14ac:dyDescent="0.25">
      <c r="A60" s="5">
        <v>51</v>
      </c>
      <c r="B60" s="88" t="s">
        <v>186</v>
      </c>
      <c r="C60" s="89">
        <v>61.8</v>
      </c>
      <c r="D60" s="75"/>
      <c r="E60" s="75">
        <v>14.78</v>
      </c>
      <c r="F60" s="75"/>
      <c r="G60" s="75"/>
      <c r="H60" s="16"/>
      <c r="I60" s="16"/>
      <c r="J60" s="75"/>
      <c r="K60" s="75"/>
      <c r="L60" s="95">
        <v>1</v>
      </c>
      <c r="M60" s="75"/>
      <c r="N60" s="75"/>
      <c r="O60" s="75" t="s">
        <v>34</v>
      </c>
      <c r="P60" s="75"/>
      <c r="Q60" s="75"/>
      <c r="R60" s="75"/>
      <c r="S60" s="75"/>
      <c r="T60" s="75"/>
      <c r="U60" s="25"/>
      <c r="V60" s="3"/>
      <c r="W60" s="7"/>
      <c r="X60" s="14"/>
      <c r="Y60" s="14"/>
      <c r="Z60" s="12"/>
      <c r="AA60" s="75">
        <v>8.24</v>
      </c>
      <c r="AB60" s="75">
        <v>14.78</v>
      </c>
      <c r="AC60" s="76" t="s">
        <v>310</v>
      </c>
      <c r="AD60" s="4">
        <v>43676</v>
      </c>
      <c r="AE60" s="223">
        <v>43678</v>
      </c>
      <c r="AF60" s="223" t="s">
        <v>309</v>
      </c>
      <c r="AG60" s="1" t="s">
        <v>201</v>
      </c>
      <c r="AH60" s="14"/>
      <c r="AI60" s="26">
        <f t="shared" si="2"/>
        <v>1.7936893203883495</v>
      </c>
      <c r="AJ60" s="26">
        <f t="shared" si="3"/>
        <v>1</v>
      </c>
      <c r="AK60" s="75" t="s">
        <v>202</v>
      </c>
      <c r="AL60" s="75" t="s">
        <v>31</v>
      </c>
      <c r="AM60" s="5">
        <v>49</v>
      </c>
      <c r="AN60" s="75"/>
      <c r="AO60" s="13" t="s">
        <v>208</v>
      </c>
      <c r="AP60" s="275">
        <v>5.2</v>
      </c>
      <c r="AQ60" s="275">
        <f t="shared" si="4"/>
        <v>9.5799999999999983</v>
      </c>
      <c r="AR60" s="267">
        <f t="shared" si="5"/>
        <v>9.8699999999999992</v>
      </c>
      <c r="AS60" s="76" t="s">
        <v>316</v>
      </c>
      <c r="AT60" s="4">
        <v>43676</v>
      </c>
      <c r="AU60" s="223">
        <v>44044</v>
      </c>
      <c r="AV60" s="223" t="s">
        <v>309</v>
      </c>
      <c r="AW60" s="272">
        <f t="shared" si="6"/>
        <v>1.0302713987473906</v>
      </c>
      <c r="AX60" s="259" t="s">
        <v>202</v>
      </c>
      <c r="AY60" s="13" t="s">
        <v>315</v>
      </c>
    </row>
    <row r="61" spans="1:51" ht="41.25" customHeight="1" x14ac:dyDescent="0.25">
      <c r="A61" s="5">
        <v>52</v>
      </c>
      <c r="B61" s="88" t="s">
        <v>187</v>
      </c>
      <c r="C61" s="89">
        <v>80.599999999999994</v>
      </c>
      <c r="D61" s="75"/>
      <c r="E61" s="75">
        <v>14.78</v>
      </c>
      <c r="F61" s="75"/>
      <c r="G61" s="75"/>
      <c r="H61" s="16"/>
      <c r="I61" s="16"/>
      <c r="J61" s="75"/>
      <c r="K61" s="75"/>
      <c r="L61" s="95">
        <v>1</v>
      </c>
      <c r="M61" s="75"/>
      <c r="N61" s="75"/>
      <c r="O61" s="75" t="s">
        <v>34</v>
      </c>
      <c r="P61" s="75"/>
      <c r="Q61" s="75"/>
      <c r="R61" s="75"/>
      <c r="S61" s="75"/>
      <c r="T61" s="75"/>
      <c r="U61" s="25"/>
      <c r="V61" s="3"/>
      <c r="W61" s="7"/>
      <c r="X61" s="14"/>
      <c r="Y61" s="14"/>
      <c r="Z61" s="12"/>
      <c r="AA61" s="75">
        <v>8.24</v>
      </c>
      <c r="AB61" s="75">
        <v>14.78</v>
      </c>
      <c r="AC61" s="76" t="s">
        <v>310</v>
      </c>
      <c r="AD61" s="4">
        <v>43676</v>
      </c>
      <c r="AE61" s="223">
        <v>43678</v>
      </c>
      <c r="AF61" s="223" t="s">
        <v>309</v>
      </c>
      <c r="AG61" s="1" t="s">
        <v>201</v>
      </c>
      <c r="AH61" s="14"/>
      <c r="AI61" s="26">
        <f t="shared" si="2"/>
        <v>1.7936893203883495</v>
      </c>
      <c r="AJ61" s="26">
        <f t="shared" si="3"/>
        <v>1</v>
      </c>
      <c r="AK61" s="75" t="s">
        <v>202</v>
      </c>
      <c r="AL61" s="75" t="s">
        <v>31</v>
      </c>
      <c r="AM61" s="5">
        <v>100</v>
      </c>
      <c r="AN61" s="75"/>
      <c r="AO61" s="13" t="s">
        <v>208</v>
      </c>
      <c r="AP61" s="275">
        <v>5.2</v>
      </c>
      <c r="AQ61" s="275">
        <f t="shared" si="4"/>
        <v>9.5799999999999983</v>
      </c>
      <c r="AR61" s="267">
        <f t="shared" si="5"/>
        <v>9.8699999999999992</v>
      </c>
      <c r="AS61" s="76" t="s">
        <v>316</v>
      </c>
      <c r="AT61" s="4">
        <v>43676</v>
      </c>
      <c r="AU61" s="223">
        <v>44044</v>
      </c>
      <c r="AV61" s="223" t="s">
        <v>309</v>
      </c>
      <c r="AW61" s="272">
        <f t="shared" si="6"/>
        <v>1.0302713987473906</v>
      </c>
      <c r="AX61" s="259" t="s">
        <v>202</v>
      </c>
      <c r="AY61" s="13" t="s">
        <v>315</v>
      </c>
    </row>
    <row r="62" spans="1:51" ht="41.25" customHeight="1" x14ac:dyDescent="0.25">
      <c r="A62" s="5">
        <v>53</v>
      </c>
      <c r="B62" s="88" t="s">
        <v>188</v>
      </c>
      <c r="C62" s="89">
        <v>60.6</v>
      </c>
      <c r="D62" s="75"/>
      <c r="E62" s="75">
        <v>14.78</v>
      </c>
      <c r="F62" s="75"/>
      <c r="G62" s="75"/>
      <c r="H62" s="16"/>
      <c r="I62" s="16"/>
      <c r="J62" s="75"/>
      <c r="K62" s="75"/>
      <c r="L62" s="95">
        <v>1</v>
      </c>
      <c r="M62" s="75"/>
      <c r="N62" s="75"/>
      <c r="O62" s="75" t="s">
        <v>34</v>
      </c>
      <c r="P62" s="75"/>
      <c r="Q62" s="75"/>
      <c r="R62" s="75"/>
      <c r="S62" s="75"/>
      <c r="T62" s="75"/>
      <c r="U62" s="25"/>
      <c r="V62" s="3"/>
      <c r="W62" s="7"/>
      <c r="X62" s="14"/>
      <c r="Y62" s="14"/>
      <c r="Z62" s="12"/>
      <c r="AA62" s="75">
        <v>8.24</v>
      </c>
      <c r="AB62" s="75">
        <v>14.78</v>
      </c>
      <c r="AC62" s="76" t="s">
        <v>310</v>
      </c>
      <c r="AD62" s="4">
        <v>43676</v>
      </c>
      <c r="AE62" s="223">
        <v>43678</v>
      </c>
      <c r="AF62" s="223" t="s">
        <v>309</v>
      </c>
      <c r="AG62" s="1" t="s">
        <v>201</v>
      </c>
      <c r="AH62" s="14"/>
      <c r="AI62" s="26">
        <f t="shared" si="2"/>
        <v>1.7936893203883495</v>
      </c>
      <c r="AJ62" s="26">
        <f t="shared" si="3"/>
        <v>1</v>
      </c>
      <c r="AK62" s="75" t="s">
        <v>202</v>
      </c>
      <c r="AL62" s="75" t="s">
        <v>31</v>
      </c>
      <c r="AM62" s="5">
        <v>100</v>
      </c>
      <c r="AN62" s="75"/>
      <c r="AO62" s="13" t="s">
        <v>208</v>
      </c>
      <c r="AP62" s="275">
        <v>5.2</v>
      </c>
      <c r="AQ62" s="275">
        <f t="shared" si="4"/>
        <v>9.5799999999999983</v>
      </c>
      <c r="AR62" s="267">
        <f t="shared" si="5"/>
        <v>9.8699999999999992</v>
      </c>
      <c r="AS62" s="76" t="s">
        <v>316</v>
      </c>
      <c r="AT62" s="4">
        <v>43676</v>
      </c>
      <c r="AU62" s="223">
        <v>44044</v>
      </c>
      <c r="AV62" s="223" t="s">
        <v>309</v>
      </c>
      <c r="AW62" s="272">
        <f t="shared" si="6"/>
        <v>1.0302713987473906</v>
      </c>
      <c r="AX62" s="259" t="s">
        <v>202</v>
      </c>
      <c r="AY62" s="13" t="s">
        <v>315</v>
      </c>
    </row>
    <row r="63" spans="1:51" ht="41.25" customHeight="1" x14ac:dyDescent="0.25">
      <c r="A63" s="5">
        <v>54</v>
      </c>
      <c r="B63" s="88" t="s">
        <v>189</v>
      </c>
      <c r="C63" s="89">
        <v>79.7</v>
      </c>
      <c r="D63" s="75"/>
      <c r="E63" s="75">
        <v>14.78</v>
      </c>
      <c r="F63" s="75"/>
      <c r="G63" s="75"/>
      <c r="H63" s="16"/>
      <c r="I63" s="16"/>
      <c r="J63" s="75"/>
      <c r="K63" s="75"/>
      <c r="L63" s="95">
        <v>1</v>
      </c>
      <c r="M63" s="75"/>
      <c r="N63" s="75"/>
      <c r="O63" s="75" t="s">
        <v>34</v>
      </c>
      <c r="P63" s="75"/>
      <c r="Q63" s="75"/>
      <c r="R63" s="75"/>
      <c r="S63" s="75"/>
      <c r="T63" s="75"/>
      <c r="U63" s="25"/>
      <c r="V63" s="3"/>
      <c r="W63" s="7"/>
      <c r="X63" s="14"/>
      <c r="Y63" s="14"/>
      <c r="Z63" s="12"/>
      <c r="AA63" s="75">
        <v>8.24</v>
      </c>
      <c r="AB63" s="75">
        <v>14.78</v>
      </c>
      <c r="AC63" s="76" t="s">
        <v>310</v>
      </c>
      <c r="AD63" s="4">
        <v>43676</v>
      </c>
      <c r="AE63" s="223">
        <v>43678</v>
      </c>
      <c r="AF63" s="223" t="s">
        <v>309</v>
      </c>
      <c r="AG63" s="1" t="s">
        <v>201</v>
      </c>
      <c r="AH63" s="14"/>
      <c r="AI63" s="26">
        <f t="shared" si="2"/>
        <v>1.7936893203883495</v>
      </c>
      <c r="AJ63" s="26">
        <f t="shared" si="3"/>
        <v>1</v>
      </c>
      <c r="AK63" s="75" t="s">
        <v>202</v>
      </c>
      <c r="AL63" s="75" t="s">
        <v>31</v>
      </c>
      <c r="AM63" s="5">
        <v>62</v>
      </c>
      <c r="AN63" s="75"/>
      <c r="AO63" s="13" t="s">
        <v>208</v>
      </c>
      <c r="AP63" s="275">
        <v>5.2</v>
      </c>
      <c r="AQ63" s="275">
        <f t="shared" si="4"/>
        <v>9.5799999999999983</v>
      </c>
      <c r="AR63" s="267">
        <f t="shared" si="5"/>
        <v>9.8699999999999992</v>
      </c>
      <c r="AS63" s="76" t="s">
        <v>316</v>
      </c>
      <c r="AT63" s="4">
        <v>43676</v>
      </c>
      <c r="AU63" s="223">
        <v>44044</v>
      </c>
      <c r="AV63" s="223" t="s">
        <v>309</v>
      </c>
      <c r="AW63" s="272">
        <f t="shared" si="6"/>
        <v>1.0302713987473906</v>
      </c>
      <c r="AX63" s="259" t="s">
        <v>202</v>
      </c>
      <c r="AY63" s="13" t="s">
        <v>315</v>
      </c>
    </row>
    <row r="64" spans="1:51" s="260" customFormat="1" ht="41.25" customHeight="1" x14ac:dyDescent="0.25">
      <c r="A64" s="258">
        <v>55</v>
      </c>
      <c r="B64" s="13" t="s">
        <v>190</v>
      </c>
      <c r="C64" s="268">
        <v>60.2</v>
      </c>
      <c r="D64" s="105"/>
      <c r="E64" s="105">
        <v>14.78</v>
      </c>
      <c r="F64" s="105"/>
      <c r="G64" s="105"/>
      <c r="H64" s="16"/>
      <c r="I64" s="16"/>
      <c r="J64" s="105"/>
      <c r="K64" s="105"/>
      <c r="L64" s="269">
        <v>1</v>
      </c>
      <c r="M64" s="105"/>
      <c r="N64" s="105"/>
      <c r="O64" s="105" t="s">
        <v>34</v>
      </c>
      <c r="P64" s="105"/>
      <c r="Q64" s="105"/>
      <c r="R64" s="105"/>
      <c r="S64" s="105"/>
      <c r="T64" s="105"/>
      <c r="U64" s="25"/>
      <c r="V64" s="3"/>
      <c r="W64" s="7"/>
      <c r="X64" s="14"/>
      <c r="Y64" s="14"/>
      <c r="Z64" s="12"/>
      <c r="AA64" s="105">
        <v>8.24</v>
      </c>
      <c r="AB64" s="105">
        <v>14.78</v>
      </c>
      <c r="AC64" s="76" t="s">
        <v>310</v>
      </c>
      <c r="AD64" s="4">
        <v>43676</v>
      </c>
      <c r="AE64" s="223">
        <v>43678</v>
      </c>
      <c r="AF64" s="223" t="s">
        <v>309</v>
      </c>
      <c r="AG64" s="259" t="s">
        <v>201</v>
      </c>
      <c r="AH64" s="14"/>
      <c r="AI64" s="26">
        <f t="shared" si="2"/>
        <v>1.7936893203883495</v>
      </c>
      <c r="AJ64" s="26">
        <f t="shared" si="3"/>
        <v>1</v>
      </c>
      <c r="AK64" s="105" t="s">
        <v>202</v>
      </c>
      <c r="AL64" s="105" t="s">
        <v>31</v>
      </c>
      <c r="AM64" s="258">
        <v>100</v>
      </c>
      <c r="AN64" s="105"/>
      <c r="AO64" s="13" t="s">
        <v>208</v>
      </c>
      <c r="AP64" s="275">
        <v>5.2</v>
      </c>
      <c r="AQ64" s="275">
        <f t="shared" si="4"/>
        <v>9.5799999999999983</v>
      </c>
      <c r="AR64" s="267">
        <f t="shared" si="5"/>
        <v>9.8699999999999992</v>
      </c>
      <c r="AS64" s="76" t="s">
        <v>316</v>
      </c>
      <c r="AT64" s="4">
        <v>43676</v>
      </c>
      <c r="AU64" s="223">
        <v>44044</v>
      </c>
      <c r="AV64" s="223" t="s">
        <v>309</v>
      </c>
      <c r="AW64" s="272">
        <f t="shared" si="6"/>
        <v>1.0302713987473906</v>
      </c>
      <c r="AX64" s="259" t="s">
        <v>202</v>
      </c>
      <c r="AY64" s="13" t="s">
        <v>315</v>
      </c>
    </row>
    <row r="65" spans="1:51" s="260" customFormat="1" ht="41.25" customHeight="1" x14ac:dyDescent="0.25">
      <c r="A65" s="258">
        <v>56</v>
      </c>
      <c r="B65" s="13" t="s">
        <v>191</v>
      </c>
      <c r="C65" s="268">
        <v>58.7</v>
      </c>
      <c r="D65" s="105"/>
      <c r="E65" s="105">
        <v>14.78</v>
      </c>
      <c r="F65" s="105"/>
      <c r="G65" s="105"/>
      <c r="H65" s="16"/>
      <c r="I65" s="16"/>
      <c r="J65" s="105"/>
      <c r="K65" s="105"/>
      <c r="L65" s="269">
        <v>1</v>
      </c>
      <c r="M65" s="105"/>
      <c r="N65" s="105"/>
      <c r="O65" s="105" t="s">
        <v>34</v>
      </c>
      <c r="P65" s="105"/>
      <c r="Q65" s="105"/>
      <c r="R65" s="105"/>
      <c r="S65" s="105"/>
      <c r="T65" s="105"/>
      <c r="U65" s="25"/>
      <c r="V65" s="3"/>
      <c r="W65" s="7"/>
      <c r="X65" s="14"/>
      <c r="Y65" s="14"/>
      <c r="Z65" s="12"/>
      <c r="AA65" s="105">
        <v>8.24</v>
      </c>
      <c r="AB65" s="105">
        <v>14.78</v>
      </c>
      <c r="AC65" s="76" t="s">
        <v>310</v>
      </c>
      <c r="AD65" s="4">
        <v>43676</v>
      </c>
      <c r="AE65" s="223">
        <v>43678</v>
      </c>
      <c r="AF65" s="223" t="s">
        <v>309</v>
      </c>
      <c r="AG65" s="259" t="s">
        <v>201</v>
      </c>
      <c r="AH65" s="14"/>
      <c r="AI65" s="26">
        <f t="shared" si="2"/>
        <v>1.7936893203883495</v>
      </c>
      <c r="AJ65" s="26">
        <f t="shared" si="3"/>
        <v>1</v>
      </c>
      <c r="AK65" s="105" t="s">
        <v>202</v>
      </c>
      <c r="AL65" s="105" t="s">
        <v>31</v>
      </c>
      <c r="AM65" s="258">
        <v>50</v>
      </c>
      <c r="AN65" s="105"/>
      <c r="AO65" s="13" t="s">
        <v>208</v>
      </c>
      <c r="AP65" s="275">
        <v>5.2</v>
      </c>
      <c r="AQ65" s="275">
        <f t="shared" si="4"/>
        <v>9.5799999999999983</v>
      </c>
      <c r="AR65" s="267">
        <f t="shared" si="5"/>
        <v>9.8699999999999992</v>
      </c>
      <c r="AS65" s="76" t="s">
        <v>316</v>
      </c>
      <c r="AT65" s="4">
        <v>43676</v>
      </c>
      <c r="AU65" s="223">
        <v>44044</v>
      </c>
      <c r="AV65" s="223" t="s">
        <v>309</v>
      </c>
      <c r="AW65" s="272">
        <f t="shared" si="6"/>
        <v>1.0302713987473906</v>
      </c>
      <c r="AX65" s="259" t="s">
        <v>202</v>
      </c>
      <c r="AY65" s="13" t="s">
        <v>315</v>
      </c>
    </row>
    <row r="66" spans="1:51" s="260" customFormat="1" ht="41.25" customHeight="1" x14ac:dyDescent="0.25">
      <c r="A66" s="258">
        <v>57</v>
      </c>
      <c r="B66" s="13" t="s">
        <v>192</v>
      </c>
      <c r="C66" s="268">
        <v>60.7</v>
      </c>
      <c r="D66" s="105"/>
      <c r="E66" s="105">
        <v>14.78</v>
      </c>
      <c r="F66" s="105"/>
      <c r="G66" s="105"/>
      <c r="H66" s="16"/>
      <c r="I66" s="16"/>
      <c r="J66" s="105"/>
      <c r="K66" s="105"/>
      <c r="L66" s="269">
        <v>1</v>
      </c>
      <c r="M66" s="105"/>
      <c r="N66" s="105"/>
      <c r="O66" s="105" t="s">
        <v>34</v>
      </c>
      <c r="P66" s="105"/>
      <c r="Q66" s="105"/>
      <c r="R66" s="105"/>
      <c r="S66" s="105"/>
      <c r="T66" s="105"/>
      <c r="U66" s="25"/>
      <c r="V66" s="3"/>
      <c r="W66" s="7"/>
      <c r="X66" s="14"/>
      <c r="Y66" s="14"/>
      <c r="Z66" s="12"/>
      <c r="AA66" s="105">
        <v>8.24</v>
      </c>
      <c r="AB66" s="105">
        <v>14.78</v>
      </c>
      <c r="AC66" s="76" t="s">
        <v>310</v>
      </c>
      <c r="AD66" s="4">
        <v>43676</v>
      </c>
      <c r="AE66" s="223">
        <v>43678</v>
      </c>
      <c r="AF66" s="223" t="s">
        <v>309</v>
      </c>
      <c r="AG66" s="259" t="s">
        <v>201</v>
      </c>
      <c r="AH66" s="14"/>
      <c r="AI66" s="26">
        <f t="shared" si="2"/>
        <v>1.7936893203883495</v>
      </c>
      <c r="AJ66" s="26">
        <f t="shared" si="3"/>
        <v>1</v>
      </c>
      <c r="AK66" s="105" t="s">
        <v>202</v>
      </c>
      <c r="AL66" s="105" t="s">
        <v>31</v>
      </c>
      <c r="AM66" s="258">
        <v>51</v>
      </c>
      <c r="AN66" s="105"/>
      <c r="AO66" s="13" t="s">
        <v>208</v>
      </c>
      <c r="AP66" s="275">
        <v>5.2</v>
      </c>
      <c r="AQ66" s="275">
        <f t="shared" si="4"/>
        <v>9.5799999999999983</v>
      </c>
      <c r="AR66" s="267">
        <f t="shared" si="5"/>
        <v>9.8699999999999992</v>
      </c>
      <c r="AS66" s="76" t="s">
        <v>316</v>
      </c>
      <c r="AT66" s="4">
        <v>43676</v>
      </c>
      <c r="AU66" s="223">
        <v>44044</v>
      </c>
      <c r="AV66" s="223" t="s">
        <v>309</v>
      </c>
      <c r="AW66" s="272">
        <f t="shared" si="6"/>
        <v>1.0302713987473906</v>
      </c>
      <c r="AX66" s="259" t="s">
        <v>202</v>
      </c>
      <c r="AY66" s="13" t="s">
        <v>315</v>
      </c>
    </row>
    <row r="67" spans="1:51" ht="21.95" hidden="1" customHeight="1" outlineLevel="1" x14ac:dyDescent="0.25">
      <c r="A67" s="92">
        <v>55</v>
      </c>
      <c r="B67" s="93" t="s">
        <v>193</v>
      </c>
      <c r="C67" s="94">
        <v>151.19999999999999</v>
      </c>
      <c r="D67" s="75"/>
      <c r="E67" s="75"/>
      <c r="F67" s="75"/>
      <c r="G67" s="75"/>
      <c r="H67" s="16"/>
      <c r="I67" s="16"/>
      <c r="J67" s="75"/>
      <c r="K67" s="75"/>
      <c r="L67" s="96">
        <v>1</v>
      </c>
      <c r="M67" s="75"/>
      <c r="N67" s="75"/>
      <c r="O67" s="75"/>
      <c r="P67" s="75"/>
      <c r="Q67" s="75"/>
      <c r="R67" s="75"/>
      <c r="S67" s="75"/>
      <c r="T67" s="75"/>
      <c r="U67" s="25"/>
      <c r="V67" s="3"/>
      <c r="W67" s="7"/>
      <c r="X67" s="14"/>
      <c r="Y67" s="14"/>
      <c r="Z67" s="12"/>
      <c r="AA67" s="75"/>
      <c r="AB67" s="75"/>
      <c r="AC67" s="25"/>
      <c r="AD67" s="3"/>
      <c r="AE67" s="3"/>
      <c r="AF67" s="7"/>
      <c r="AG67" s="14"/>
      <c r="AH67" s="14"/>
      <c r="AI67" s="26" t="e">
        <f t="shared" si="2"/>
        <v>#DIV/0!</v>
      </c>
      <c r="AJ67" s="26" t="e">
        <f t="shared" si="3"/>
        <v>#DIV/0!</v>
      </c>
      <c r="AK67" s="75"/>
      <c r="AL67" s="75"/>
      <c r="AM67" s="97">
        <v>100</v>
      </c>
      <c r="AN67" s="75"/>
    </row>
    <row r="68" spans="1:51" ht="21.95" hidden="1" customHeight="1" outlineLevel="1" x14ac:dyDescent="0.25">
      <c r="A68" s="92">
        <v>56</v>
      </c>
      <c r="B68" s="93" t="s">
        <v>194</v>
      </c>
      <c r="C68" s="89">
        <v>103.5</v>
      </c>
      <c r="D68" s="75"/>
      <c r="E68" s="75"/>
      <c r="F68" s="75"/>
      <c r="G68" s="75"/>
      <c r="H68" s="16"/>
      <c r="I68" s="16"/>
      <c r="J68" s="75"/>
      <c r="K68" s="75"/>
      <c r="L68" s="96">
        <v>1</v>
      </c>
      <c r="M68" s="75"/>
      <c r="N68" s="75"/>
      <c r="O68" s="75"/>
      <c r="P68" s="75"/>
      <c r="Q68" s="75"/>
      <c r="R68" s="75"/>
      <c r="S68" s="75"/>
      <c r="T68" s="75"/>
      <c r="U68" s="25"/>
      <c r="V68" s="3"/>
      <c r="W68" s="7"/>
      <c r="X68" s="14"/>
      <c r="Y68" s="14"/>
      <c r="Z68" s="12"/>
      <c r="AA68" s="75"/>
      <c r="AB68" s="75"/>
      <c r="AC68" s="25"/>
      <c r="AD68" s="3"/>
      <c r="AE68" s="3"/>
      <c r="AF68" s="7"/>
      <c r="AG68" s="14"/>
      <c r="AH68" s="14"/>
      <c r="AI68" s="26" t="e">
        <f t="shared" si="2"/>
        <v>#DIV/0!</v>
      </c>
      <c r="AJ68" s="26" t="e">
        <f t="shared" si="3"/>
        <v>#DIV/0!</v>
      </c>
      <c r="AK68" s="75"/>
      <c r="AL68" s="75"/>
      <c r="AM68" s="97">
        <v>100</v>
      </c>
      <c r="AN68" s="75"/>
    </row>
    <row r="69" spans="1:51" ht="21.95" hidden="1" customHeight="1" outlineLevel="1" x14ac:dyDescent="0.25">
      <c r="A69" s="92">
        <v>57</v>
      </c>
      <c r="B69" s="93" t="s">
        <v>195</v>
      </c>
      <c r="C69" s="89">
        <v>122.5</v>
      </c>
      <c r="D69" s="75"/>
      <c r="E69" s="75"/>
      <c r="F69" s="75"/>
      <c r="G69" s="75"/>
      <c r="H69" s="16"/>
      <c r="I69" s="16"/>
      <c r="J69" s="75"/>
      <c r="K69" s="75"/>
      <c r="L69" s="96">
        <v>1</v>
      </c>
      <c r="M69" s="75"/>
      <c r="N69" s="75"/>
      <c r="O69" s="75"/>
      <c r="P69" s="75"/>
      <c r="Q69" s="75"/>
      <c r="R69" s="75"/>
      <c r="S69" s="75"/>
      <c r="T69" s="75"/>
      <c r="U69" s="25"/>
      <c r="V69" s="3"/>
      <c r="W69" s="7"/>
      <c r="X69" s="14"/>
      <c r="Y69" s="14"/>
      <c r="Z69" s="12"/>
      <c r="AA69" s="75"/>
      <c r="AB69" s="75"/>
      <c r="AC69" s="25"/>
      <c r="AD69" s="3"/>
      <c r="AE69" s="3"/>
      <c r="AF69" s="7"/>
      <c r="AG69" s="14"/>
      <c r="AH69" s="14"/>
      <c r="AI69" s="26" t="e">
        <f t="shared" si="2"/>
        <v>#DIV/0!</v>
      </c>
      <c r="AJ69" s="26" t="e">
        <f t="shared" si="3"/>
        <v>#DIV/0!</v>
      </c>
      <c r="AK69" s="75"/>
      <c r="AL69" s="75"/>
      <c r="AM69" s="97">
        <v>100</v>
      </c>
      <c r="AN69" s="75"/>
    </row>
    <row r="70" spans="1:51" ht="21.95" hidden="1" customHeight="1" outlineLevel="1" x14ac:dyDescent="0.25">
      <c r="A70" s="5">
        <v>58</v>
      </c>
      <c r="B70" s="88" t="s">
        <v>196</v>
      </c>
      <c r="C70" s="89">
        <v>61.5</v>
      </c>
      <c r="D70" s="75"/>
      <c r="E70" s="75"/>
      <c r="F70" s="75"/>
      <c r="G70" s="75"/>
      <c r="H70" s="16"/>
      <c r="I70" s="16"/>
      <c r="J70" s="75"/>
      <c r="K70" s="75"/>
      <c r="L70" s="6">
        <v>1</v>
      </c>
      <c r="M70" s="75"/>
      <c r="N70" s="75"/>
      <c r="O70" s="75"/>
      <c r="P70" s="75"/>
      <c r="Q70" s="75"/>
      <c r="R70" s="75"/>
      <c r="S70" s="75"/>
      <c r="T70" s="75"/>
      <c r="U70" s="25"/>
      <c r="V70" s="3"/>
      <c r="W70" s="7"/>
      <c r="X70" s="14"/>
      <c r="Y70" s="14"/>
      <c r="Z70" s="12"/>
      <c r="AA70" s="75"/>
      <c r="AB70" s="75"/>
      <c r="AC70" s="25"/>
      <c r="AD70" s="3"/>
      <c r="AE70" s="3"/>
      <c r="AF70" s="7"/>
      <c r="AG70" s="14"/>
      <c r="AH70" s="14"/>
      <c r="AI70" s="26" t="e">
        <f t="shared" si="2"/>
        <v>#DIV/0!</v>
      </c>
      <c r="AJ70" s="26" t="e">
        <f t="shared" si="3"/>
        <v>#DIV/0!</v>
      </c>
      <c r="AK70" s="75"/>
      <c r="AL70" s="75"/>
      <c r="AM70" s="98">
        <v>0</v>
      </c>
      <c r="AN70" s="75"/>
    </row>
    <row r="71" spans="1:51" s="9" customFormat="1" ht="21.95" hidden="1" customHeight="1" outlineLevel="1" x14ac:dyDescent="0.25">
      <c r="A71" s="5">
        <v>59</v>
      </c>
      <c r="B71" s="88" t="s">
        <v>197</v>
      </c>
      <c r="C71" s="89">
        <v>59</v>
      </c>
      <c r="D71" s="75"/>
      <c r="E71" s="75"/>
      <c r="F71" s="75"/>
      <c r="G71" s="75"/>
      <c r="H71" s="16"/>
      <c r="I71" s="16"/>
      <c r="J71" s="75"/>
      <c r="K71" s="75"/>
      <c r="L71" s="99" t="s">
        <v>32</v>
      </c>
      <c r="M71" s="75"/>
      <c r="N71" s="75"/>
      <c r="O71" s="75"/>
      <c r="P71" s="75"/>
      <c r="Q71" s="75"/>
      <c r="R71" s="75"/>
      <c r="S71" s="75"/>
      <c r="T71" s="75"/>
      <c r="U71" s="25"/>
      <c r="V71" s="3"/>
      <c r="W71" s="7"/>
      <c r="X71" s="7"/>
      <c r="Y71" s="7"/>
      <c r="Z71" s="75"/>
      <c r="AA71" s="75"/>
      <c r="AB71" s="75"/>
      <c r="AC71" s="75"/>
      <c r="AD71" s="3"/>
      <c r="AE71" s="3"/>
      <c r="AF71" s="75"/>
      <c r="AG71" s="7"/>
      <c r="AH71" s="7"/>
      <c r="AI71" s="26" t="e">
        <f t="shared" si="2"/>
        <v>#DIV/0!</v>
      </c>
      <c r="AJ71" s="26" t="e">
        <f t="shared" si="3"/>
        <v>#DIV/0!</v>
      </c>
      <c r="AK71" s="75"/>
      <c r="AL71" s="75"/>
      <c r="AM71" s="99" t="s">
        <v>198</v>
      </c>
      <c r="AN71" s="75"/>
      <c r="AO71" s="17"/>
      <c r="AS71" s="262"/>
      <c r="AT71" s="262"/>
      <c r="AU71" s="262"/>
      <c r="AV71" s="262"/>
      <c r="AY71" s="260"/>
    </row>
    <row r="72" spans="1:51" collapsed="1" x14ac:dyDescent="0.25"/>
  </sheetData>
  <autoFilter ref="A9:AX9"/>
  <mergeCells count="62">
    <mergeCell ref="AX5:AX8"/>
    <mergeCell ref="AY5:AY8"/>
    <mergeCell ref="AP6:AP8"/>
    <mergeCell ref="AQ6:AQ8"/>
    <mergeCell ref="AP5:AQ5"/>
    <mergeCell ref="AW5:AW8"/>
    <mergeCell ref="AR5:AV5"/>
    <mergeCell ref="AR6:AR8"/>
    <mergeCell ref="AS6:AT7"/>
    <mergeCell ref="AU6:AV7"/>
    <mergeCell ref="AH5:AH8"/>
    <mergeCell ref="AI5:AJ5"/>
    <mergeCell ref="AC6:AD7"/>
    <mergeCell ref="AE6:AF7"/>
    <mergeCell ref="M7:M8"/>
    <mergeCell ref="O7:O8"/>
    <mergeCell ref="P7:P8"/>
    <mergeCell ref="Q7:Q8"/>
    <mergeCell ref="R7:R8"/>
    <mergeCell ref="H7:H8"/>
    <mergeCell ref="I7:I8"/>
    <mergeCell ref="J7:J8"/>
    <mergeCell ref="K7:K8"/>
    <mergeCell ref="L7:L8"/>
    <mergeCell ref="AL5:AN7"/>
    <mergeCell ref="AO5:AO8"/>
    <mergeCell ref="F6:G6"/>
    <mergeCell ref="H6:I6"/>
    <mergeCell ref="J6:K6"/>
    <mergeCell ref="U6:V7"/>
    <mergeCell ref="W6:X7"/>
    <mergeCell ref="Q5:S6"/>
    <mergeCell ref="T5:T8"/>
    <mergeCell ref="U5:Y5"/>
    <mergeCell ref="Z5:Z8"/>
    <mergeCell ref="AA5:AA8"/>
    <mergeCell ref="AB5:AG5"/>
    <mergeCell ref="Y6:Y8"/>
    <mergeCell ref="AB6:AB8"/>
    <mergeCell ref="S7:S8"/>
    <mergeCell ref="A4:Z4"/>
    <mergeCell ref="AB4:AK4"/>
    <mergeCell ref="A5:A8"/>
    <mergeCell ref="B5:B8"/>
    <mergeCell ref="C5:C8"/>
    <mergeCell ref="D5:D8"/>
    <mergeCell ref="E5:E8"/>
    <mergeCell ref="F5:K5"/>
    <mergeCell ref="L5:N6"/>
    <mergeCell ref="O5:P6"/>
    <mergeCell ref="AK5:AK8"/>
    <mergeCell ref="AG6:AG8"/>
    <mergeCell ref="AI6:AI8"/>
    <mergeCell ref="AJ6:AJ8"/>
    <mergeCell ref="F7:F8"/>
    <mergeCell ref="G7:G8"/>
    <mergeCell ref="B1:E1"/>
    <mergeCell ref="U1:X1"/>
    <mergeCell ref="AB1:AF1"/>
    <mergeCell ref="AI1:AK1"/>
    <mergeCell ref="U3:Y3"/>
    <mergeCell ref="AB3:AK3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45" sqref="E45:F45"/>
    </sheetView>
  </sheetViews>
  <sheetFormatPr defaultColWidth="9.140625" defaultRowHeight="15" x14ac:dyDescent="0.25"/>
  <cols>
    <col min="1" max="1" width="6.7109375" style="106" bestFit="1" customWidth="1"/>
    <col min="2" max="2" width="16.7109375" style="201" customWidth="1"/>
    <col min="3" max="3" width="24.42578125" style="157" customWidth="1"/>
    <col min="4" max="4" width="18.85546875" style="106" customWidth="1"/>
    <col min="5" max="5" width="17.5703125" style="106" customWidth="1"/>
    <col min="6" max="6" width="21.7109375" style="106" customWidth="1"/>
    <col min="7" max="7" width="19.5703125" style="201" customWidth="1"/>
    <col min="8" max="8" width="12" style="201" customWidth="1"/>
    <col min="9" max="9" width="11.140625" style="201" customWidth="1"/>
    <col min="10" max="21" width="12.140625" style="201" customWidth="1"/>
    <col min="22" max="16384" width="9.140625" style="201"/>
  </cols>
  <sheetData>
    <row r="2" spans="1:9" ht="48" customHeight="1" x14ac:dyDescent="0.3">
      <c r="A2" s="353" t="s">
        <v>231</v>
      </c>
      <c r="B2" s="354"/>
      <c r="C2" s="354"/>
      <c r="D2" s="354"/>
      <c r="E2" s="354"/>
      <c r="F2" s="354"/>
      <c r="G2" s="354"/>
    </row>
    <row r="3" spans="1:9" ht="22.5" customHeight="1" x14ac:dyDescent="0.25">
      <c r="B3" s="351"/>
      <c r="C3" s="352"/>
      <c r="D3" s="352"/>
      <c r="E3" s="352"/>
      <c r="F3" s="352"/>
    </row>
    <row r="4" spans="1:9" x14ac:dyDescent="0.25">
      <c r="G4" s="194"/>
    </row>
    <row r="5" spans="1:9" s="199" customFormat="1" ht="18.75" customHeight="1" x14ac:dyDescent="0.25">
      <c r="A5" s="343" t="s">
        <v>11</v>
      </c>
      <c r="B5" s="332" t="s">
        <v>111</v>
      </c>
      <c r="C5" s="332" t="s">
        <v>100</v>
      </c>
      <c r="D5" s="332"/>
      <c r="E5" s="332" t="s">
        <v>102</v>
      </c>
      <c r="F5" s="332" t="s">
        <v>103</v>
      </c>
      <c r="G5" s="343" t="s">
        <v>127</v>
      </c>
      <c r="H5" s="158"/>
      <c r="I5" s="348" t="s">
        <v>278</v>
      </c>
    </row>
    <row r="6" spans="1:9" s="199" customFormat="1" ht="45.75" customHeight="1" x14ac:dyDescent="0.25">
      <c r="A6" s="344"/>
      <c r="B6" s="355"/>
      <c r="C6" s="122" t="s">
        <v>101</v>
      </c>
      <c r="D6" s="197" t="s">
        <v>23</v>
      </c>
      <c r="E6" s="355"/>
      <c r="F6" s="355"/>
      <c r="G6" s="344"/>
      <c r="H6" s="158"/>
      <c r="I6" s="348"/>
    </row>
    <row r="7" spans="1:9" s="199" customFormat="1" ht="18" customHeight="1" x14ac:dyDescent="0.25">
      <c r="A7" s="197">
        <v>1</v>
      </c>
      <c r="B7" s="198">
        <v>2</v>
      </c>
      <c r="C7" s="122">
        <v>3</v>
      </c>
      <c r="D7" s="197">
        <v>4</v>
      </c>
      <c r="E7" s="198">
        <v>5</v>
      </c>
      <c r="F7" s="198">
        <v>6</v>
      </c>
      <c r="G7" s="197">
        <v>7</v>
      </c>
      <c r="H7" s="158"/>
      <c r="I7" s="224" t="s">
        <v>275</v>
      </c>
    </row>
    <row r="8" spans="1:9" s="200" customFormat="1" ht="45" x14ac:dyDescent="0.25">
      <c r="A8" s="160">
        <v>1</v>
      </c>
      <c r="B8" s="203">
        <v>43862</v>
      </c>
      <c r="C8" s="162" t="s">
        <v>240</v>
      </c>
      <c r="D8" s="163">
        <v>43903</v>
      </c>
      <c r="E8" s="227">
        <v>1</v>
      </c>
      <c r="F8" s="227">
        <v>0</v>
      </c>
      <c r="G8" s="236" t="s">
        <v>241</v>
      </c>
    </row>
    <row r="9" spans="1:9" s="276" customFormat="1" x14ac:dyDescent="0.25">
      <c r="A9" s="277">
        <v>2</v>
      </c>
      <c r="B9" s="250" t="s">
        <v>29</v>
      </c>
      <c r="C9" s="278" t="s">
        <v>320</v>
      </c>
      <c r="D9" s="279">
        <v>43914</v>
      </c>
      <c r="E9" s="253" t="s">
        <v>29</v>
      </c>
      <c r="F9" s="253" t="s">
        <v>29</v>
      </c>
      <c r="G9" s="254" t="s">
        <v>321</v>
      </c>
    </row>
    <row r="10" spans="1:9" s="276" customFormat="1" x14ac:dyDescent="0.25">
      <c r="A10" s="277">
        <v>3</v>
      </c>
      <c r="B10" s="250" t="s">
        <v>29</v>
      </c>
      <c r="C10" s="278" t="s">
        <v>322</v>
      </c>
      <c r="D10" s="279">
        <v>43917</v>
      </c>
      <c r="E10" s="253" t="s">
        <v>29</v>
      </c>
      <c r="F10" s="253" t="s">
        <v>29</v>
      </c>
      <c r="G10" s="254" t="s">
        <v>301</v>
      </c>
    </row>
    <row r="11" spans="1:9" s="200" customFormat="1" x14ac:dyDescent="0.25">
      <c r="A11" s="277">
        <v>4</v>
      </c>
      <c r="B11" s="205">
        <v>43891</v>
      </c>
      <c r="C11" s="165" t="s">
        <v>242</v>
      </c>
      <c r="D11" s="2">
        <v>43917</v>
      </c>
      <c r="E11" s="166">
        <v>13</v>
      </c>
      <c r="F11" s="166">
        <v>3</v>
      </c>
      <c r="G11" s="237" t="s">
        <v>125</v>
      </c>
    </row>
    <row r="12" spans="1:9" s="200" customFormat="1" x14ac:dyDescent="0.25">
      <c r="A12" s="277">
        <v>5</v>
      </c>
      <c r="B12" s="205">
        <v>43922</v>
      </c>
      <c r="C12" s="165" t="s">
        <v>243</v>
      </c>
      <c r="D12" s="2">
        <v>43917</v>
      </c>
      <c r="E12" s="166">
        <v>2</v>
      </c>
      <c r="F12" s="166">
        <v>0</v>
      </c>
      <c r="G12" s="237" t="s">
        <v>125</v>
      </c>
    </row>
    <row r="13" spans="1:9" s="200" customFormat="1" ht="45" x14ac:dyDescent="0.25">
      <c r="A13" s="277">
        <v>6</v>
      </c>
      <c r="B13" s="205">
        <v>43922</v>
      </c>
      <c r="C13" s="165" t="s">
        <v>260</v>
      </c>
      <c r="D13" s="2">
        <v>43935</v>
      </c>
      <c r="E13" s="191">
        <v>1</v>
      </c>
      <c r="F13" s="191">
        <v>0</v>
      </c>
      <c r="G13" s="192" t="s">
        <v>241</v>
      </c>
    </row>
    <row r="14" spans="1:9" s="200" customFormat="1" x14ac:dyDescent="0.25">
      <c r="A14" s="277">
        <v>7</v>
      </c>
      <c r="B14" s="205">
        <v>43952</v>
      </c>
      <c r="C14" s="165" t="s">
        <v>272</v>
      </c>
      <c r="D14" s="2">
        <v>43942</v>
      </c>
      <c r="E14" s="166">
        <v>15</v>
      </c>
      <c r="F14" s="166">
        <v>0</v>
      </c>
      <c r="G14" s="237" t="s">
        <v>125</v>
      </c>
    </row>
    <row r="15" spans="1:9" s="252" customFormat="1" ht="30" x14ac:dyDescent="0.25">
      <c r="A15" s="277">
        <v>8</v>
      </c>
      <c r="B15" s="250" t="s">
        <v>29</v>
      </c>
      <c r="C15" s="165" t="s">
        <v>302</v>
      </c>
      <c r="D15" s="2">
        <v>43965</v>
      </c>
      <c r="E15" s="253" t="s">
        <v>29</v>
      </c>
      <c r="F15" s="253" t="s">
        <v>29</v>
      </c>
      <c r="G15" s="254" t="s">
        <v>303</v>
      </c>
    </row>
    <row r="16" spans="1:9" s="200" customFormat="1" ht="30" x14ac:dyDescent="0.25">
      <c r="A16" s="277">
        <v>9</v>
      </c>
      <c r="B16" s="205">
        <v>43983</v>
      </c>
      <c r="C16" s="165" t="s">
        <v>274</v>
      </c>
      <c r="D16" s="2">
        <v>43972</v>
      </c>
      <c r="E16" s="105">
        <v>33</v>
      </c>
      <c r="F16" s="105">
        <v>1</v>
      </c>
      <c r="G16" s="167" t="s">
        <v>132</v>
      </c>
    </row>
    <row r="17" spans="1:8" s="200" customFormat="1" x14ac:dyDescent="0.25">
      <c r="A17" s="277">
        <v>10</v>
      </c>
      <c r="B17" s="205">
        <v>43983</v>
      </c>
      <c r="C17" s="165" t="s">
        <v>286</v>
      </c>
      <c r="D17" s="2">
        <v>43977</v>
      </c>
      <c r="E17" s="166">
        <v>136</v>
      </c>
      <c r="F17" s="166">
        <v>4</v>
      </c>
      <c r="G17" s="237" t="s">
        <v>125</v>
      </c>
    </row>
    <row r="18" spans="1:8" s="200" customFormat="1" x14ac:dyDescent="0.25">
      <c r="A18" s="277">
        <v>11</v>
      </c>
      <c r="B18" s="205">
        <v>43952</v>
      </c>
      <c r="C18" s="165" t="s">
        <v>119</v>
      </c>
      <c r="D18" s="2">
        <v>43983</v>
      </c>
      <c r="E18" s="166">
        <v>9</v>
      </c>
      <c r="F18" s="166">
        <v>0</v>
      </c>
      <c r="G18" s="237" t="s">
        <v>125</v>
      </c>
    </row>
    <row r="19" spans="1:8" s="200" customFormat="1" x14ac:dyDescent="0.25">
      <c r="A19" s="277">
        <v>12</v>
      </c>
      <c r="B19" s="250" t="s">
        <v>29</v>
      </c>
      <c r="C19" s="165" t="s">
        <v>293</v>
      </c>
      <c r="D19" s="2">
        <v>44007</v>
      </c>
      <c r="E19" s="253" t="s">
        <v>29</v>
      </c>
      <c r="F19" s="253" t="s">
        <v>29</v>
      </c>
      <c r="G19" s="254" t="s">
        <v>294</v>
      </c>
    </row>
    <row r="20" spans="1:8" s="200" customFormat="1" x14ac:dyDescent="0.25">
      <c r="A20" s="277">
        <v>13</v>
      </c>
      <c r="B20" s="205">
        <v>43983</v>
      </c>
      <c r="C20" s="165" t="s">
        <v>296</v>
      </c>
      <c r="D20" s="2">
        <v>44007</v>
      </c>
      <c r="E20" s="166">
        <v>80</v>
      </c>
      <c r="F20" s="166">
        <v>6</v>
      </c>
      <c r="G20" s="237" t="s">
        <v>125</v>
      </c>
    </row>
    <row r="21" spans="1:8" s="200" customFormat="1" ht="45" x14ac:dyDescent="0.25">
      <c r="A21" s="277">
        <v>14</v>
      </c>
      <c r="B21" s="205">
        <v>43983</v>
      </c>
      <c r="C21" s="165" t="s">
        <v>297</v>
      </c>
      <c r="D21" s="2">
        <v>44011</v>
      </c>
      <c r="E21" s="191">
        <v>1</v>
      </c>
      <c r="F21" s="191">
        <v>0</v>
      </c>
      <c r="G21" s="192" t="s">
        <v>241</v>
      </c>
    </row>
    <row r="22" spans="1:8" s="200" customFormat="1" x14ac:dyDescent="0.25">
      <c r="A22" s="277">
        <v>15</v>
      </c>
      <c r="B22" s="250" t="s">
        <v>29</v>
      </c>
      <c r="C22" s="165" t="s">
        <v>300</v>
      </c>
      <c r="D22" s="2">
        <v>44011</v>
      </c>
      <c r="E22" s="253" t="s">
        <v>29</v>
      </c>
      <c r="F22" s="253" t="s">
        <v>29</v>
      </c>
      <c r="G22" s="254" t="s">
        <v>301</v>
      </c>
    </row>
    <row r="23" spans="1:8" s="200" customFormat="1" x14ac:dyDescent="0.25">
      <c r="A23" s="277">
        <v>16</v>
      </c>
      <c r="B23" s="205">
        <v>44013</v>
      </c>
      <c r="C23" s="165" t="s">
        <v>206</v>
      </c>
      <c r="D23" s="2">
        <v>44011</v>
      </c>
      <c r="E23" s="166">
        <v>33</v>
      </c>
      <c r="F23" s="166">
        <v>0</v>
      </c>
      <c r="G23" s="237" t="s">
        <v>125</v>
      </c>
    </row>
    <row r="24" spans="1:8" s="200" customFormat="1" ht="45" x14ac:dyDescent="0.25">
      <c r="A24" s="277">
        <v>17</v>
      </c>
      <c r="B24" s="205">
        <v>44044</v>
      </c>
      <c r="C24" s="165" t="s">
        <v>306</v>
      </c>
      <c r="D24" s="2">
        <v>44015</v>
      </c>
      <c r="E24" s="191">
        <v>57</v>
      </c>
      <c r="F24" s="191">
        <v>0</v>
      </c>
      <c r="G24" s="192" t="s">
        <v>241</v>
      </c>
      <c r="H24" s="281" t="s">
        <v>328</v>
      </c>
    </row>
    <row r="25" spans="1:8" s="200" customFormat="1" x14ac:dyDescent="0.25">
      <c r="A25" s="277">
        <v>18</v>
      </c>
      <c r="B25" s="205">
        <v>44013</v>
      </c>
      <c r="C25" s="165" t="s">
        <v>318</v>
      </c>
      <c r="D25" s="2">
        <v>44019</v>
      </c>
      <c r="E25" s="166">
        <v>1</v>
      </c>
      <c r="F25" s="166">
        <v>0</v>
      </c>
      <c r="G25" s="237" t="s">
        <v>125</v>
      </c>
    </row>
    <row r="26" spans="1:8" s="200" customFormat="1" x14ac:dyDescent="0.25">
      <c r="A26" s="277">
        <v>19</v>
      </c>
      <c r="B26" s="205">
        <v>44013</v>
      </c>
      <c r="C26" s="165" t="s">
        <v>324</v>
      </c>
      <c r="D26" s="2">
        <v>44018</v>
      </c>
      <c r="E26" s="166">
        <v>81</v>
      </c>
      <c r="F26" s="166">
        <v>0</v>
      </c>
      <c r="G26" s="237" t="s">
        <v>125</v>
      </c>
    </row>
    <row r="27" spans="1:8" s="200" customFormat="1" x14ac:dyDescent="0.25">
      <c r="A27" s="277">
        <v>20</v>
      </c>
      <c r="B27" s="205">
        <v>44044</v>
      </c>
      <c r="C27" s="165" t="s">
        <v>326</v>
      </c>
      <c r="D27" s="2">
        <v>44043</v>
      </c>
      <c r="E27" s="166">
        <v>54</v>
      </c>
      <c r="F27" s="166">
        <v>3</v>
      </c>
      <c r="G27" s="237" t="s">
        <v>125</v>
      </c>
      <c r="H27" s="169"/>
    </row>
    <row r="28" spans="1:8" s="200" customFormat="1" x14ac:dyDescent="0.25">
      <c r="A28" s="277">
        <v>21</v>
      </c>
      <c r="B28" s="205">
        <v>44075</v>
      </c>
      <c r="C28" s="165" t="s">
        <v>330</v>
      </c>
      <c r="D28" s="2">
        <v>44078</v>
      </c>
      <c r="E28" s="166">
        <v>25</v>
      </c>
      <c r="F28" s="166">
        <v>2</v>
      </c>
      <c r="G28" s="237" t="s">
        <v>125</v>
      </c>
    </row>
    <row r="29" spans="1:8" s="200" customFormat="1" x14ac:dyDescent="0.25">
      <c r="A29" s="277">
        <v>22</v>
      </c>
      <c r="B29" s="205">
        <v>44136</v>
      </c>
      <c r="C29" s="165" t="s">
        <v>334</v>
      </c>
      <c r="D29" s="2">
        <v>44127</v>
      </c>
      <c r="E29" s="166">
        <v>46</v>
      </c>
      <c r="F29" s="166">
        <v>0</v>
      </c>
      <c r="G29" s="237" t="s">
        <v>125</v>
      </c>
    </row>
    <row r="30" spans="1:8" s="200" customFormat="1" x14ac:dyDescent="0.25">
      <c r="A30" s="277">
        <v>23</v>
      </c>
      <c r="B30" s="12"/>
      <c r="C30" s="165"/>
      <c r="D30" s="2"/>
      <c r="E30" s="105"/>
      <c r="F30" s="105"/>
      <c r="G30" s="167"/>
    </row>
    <row r="31" spans="1:8" s="200" customFormat="1" x14ac:dyDescent="0.25">
      <c r="A31" s="277">
        <v>24</v>
      </c>
      <c r="B31" s="12"/>
      <c r="C31" s="165"/>
      <c r="D31" s="2"/>
      <c r="E31" s="105"/>
      <c r="F31" s="105"/>
      <c r="G31" s="167"/>
    </row>
    <row r="32" spans="1:8" s="200" customFormat="1" x14ac:dyDescent="0.25">
      <c r="A32" s="277">
        <v>25</v>
      </c>
      <c r="B32" s="12"/>
      <c r="C32" s="165"/>
      <c r="D32" s="2"/>
      <c r="E32" s="166"/>
      <c r="F32" s="166"/>
      <c r="G32" s="202"/>
    </row>
    <row r="33" spans="1:8" s="200" customFormat="1" x14ac:dyDescent="0.25">
      <c r="A33" s="277">
        <v>26</v>
      </c>
      <c r="B33" s="108"/>
      <c r="C33" s="190"/>
      <c r="D33" s="111"/>
      <c r="E33" s="105"/>
      <c r="F33" s="105"/>
      <c r="G33" s="167"/>
    </row>
    <row r="34" spans="1:8" s="200" customFormat="1" x14ac:dyDescent="0.25">
      <c r="A34" s="277">
        <v>27</v>
      </c>
      <c r="B34" s="108"/>
      <c r="C34" s="190"/>
      <c r="D34" s="111"/>
      <c r="E34" s="112"/>
      <c r="F34" s="112"/>
      <c r="G34" s="202"/>
    </row>
    <row r="35" spans="1:8" s="200" customFormat="1" x14ac:dyDescent="0.25">
      <c r="A35" s="277">
        <v>28</v>
      </c>
      <c r="B35" s="108"/>
      <c r="C35" s="110"/>
      <c r="D35" s="111"/>
      <c r="E35" s="112"/>
      <c r="F35" s="112"/>
      <c r="G35" s="113"/>
    </row>
    <row r="36" spans="1:8" s="200" customFormat="1" x14ac:dyDescent="0.25">
      <c r="A36" s="277">
        <v>29</v>
      </c>
      <c r="B36" s="108"/>
      <c r="C36" s="110"/>
      <c r="D36" s="111"/>
      <c r="E36" s="112"/>
      <c r="F36" s="112"/>
      <c r="G36" s="113"/>
    </row>
    <row r="37" spans="1:8" s="200" customFormat="1" x14ac:dyDescent="0.25">
      <c r="A37" s="277">
        <v>30</v>
      </c>
      <c r="B37" s="108"/>
      <c r="C37" s="110"/>
      <c r="D37" s="111"/>
      <c r="E37" s="112"/>
      <c r="F37" s="112"/>
      <c r="G37" s="113"/>
    </row>
    <row r="38" spans="1:8" s="200" customFormat="1" x14ac:dyDescent="0.25">
      <c r="A38" s="277">
        <v>31</v>
      </c>
      <c r="B38" s="108"/>
      <c r="C38" s="110"/>
      <c r="D38" s="111"/>
      <c r="E38" s="112"/>
      <c r="F38" s="112"/>
      <c r="G38" s="113"/>
    </row>
    <row r="39" spans="1:8" s="200" customFormat="1" x14ac:dyDescent="0.25">
      <c r="A39" s="277">
        <v>32</v>
      </c>
      <c r="B39" s="108"/>
      <c r="C39" s="110"/>
      <c r="D39" s="111"/>
      <c r="E39" s="112"/>
      <c r="F39" s="112"/>
      <c r="G39" s="113"/>
    </row>
    <row r="40" spans="1:8" s="200" customFormat="1" x14ac:dyDescent="0.25">
      <c r="A40" s="277">
        <v>33</v>
      </c>
      <c r="B40" s="108"/>
      <c r="C40" s="110"/>
      <c r="D40" s="111"/>
      <c r="E40" s="112"/>
      <c r="F40" s="112"/>
      <c r="G40" s="113"/>
    </row>
    <row r="41" spans="1:8" s="200" customFormat="1" x14ac:dyDescent="0.25">
      <c r="A41" s="277">
        <v>34</v>
      </c>
      <c r="B41" s="108"/>
      <c r="C41" s="110"/>
      <c r="D41" s="111"/>
      <c r="E41" s="112"/>
      <c r="F41" s="112"/>
      <c r="G41" s="113"/>
    </row>
    <row r="42" spans="1:8" s="200" customFormat="1" x14ac:dyDescent="0.25">
      <c r="A42" s="277">
        <v>35</v>
      </c>
      <c r="B42" s="108"/>
      <c r="C42" s="110"/>
      <c r="D42" s="111"/>
      <c r="E42" s="112"/>
      <c r="F42" s="112"/>
      <c r="G42" s="113"/>
    </row>
    <row r="43" spans="1:8" s="200" customFormat="1" x14ac:dyDescent="0.25">
      <c r="A43" s="277">
        <v>36</v>
      </c>
      <c r="B43" s="108"/>
      <c r="C43" s="110"/>
      <c r="D43" s="111"/>
      <c r="E43" s="112"/>
      <c r="F43" s="112"/>
      <c r="G43" s="113"/>
    </row>
    <row r="44" spans="1:8" x14ac:dyDescent="0.25">
      <c r="A44" s="277">
        <v>37</v>
      </c>
      <c r="B44" s="115"/>
      <c r="C44" s="116"/>
      <c r="D44" s="117"/>
      <c r="E44" s="117"/>
      <c r="F44" s="117"/>
      <c r="G44" s="118"/>
    </row>
    <row r="45" spans="1:8" s="24" customFormat="1" ht="14.25" x14ac:dyDescent="0.25">
      <c r="A45" s="170"/>
      <c r="B45" s="171" t="s">
        <v>230</v>
      </c>
      <c r="C45" s="172"/>
      <c r="D45" s="170"/>
      <c r="E45" s="170">
        <f>SUM(E8:E44)</f>
        <v>588</v>
      </c>
      <c r="F45" s="170">
        <f>SUM(F8:F44)</f>
        <v>19</v>
      </c>
      <c r="G45" s="171"/>
      <c r="H45" s="173" t="e">
        <f>(E45+F45)/H52</f>
        <v>#REF!</v>
      </c>
    </row>
    <row r="46" spans="1:8" s="24" customFormat="1" ht="14.25" x14ac:dyDescent="0.25">
      <c r="A46" s="174"/>
      <c r="B46" s="175"/>
      <c r="C46" s="176"/>
      <c r="D46" s="177"/>
      <c r="E46" s="177">
        <f>SUMIF(G8:G44,G46,E8:E44)</f>
        <v>495</v>
      </c>
      <c r="F46" s="177">
        <f>SUMIF(G8:G44,G46,F8:F44)</f>
        <v>18</v>
      </c>
      <c r="G46" s="226" t="s">
        <v>125</v>
      </c>
      <c r="H46" s="173"/>
    </row>
    <row r="47" spans="1:8" s="24" customFormat="1" ht="28.5" x14ac:dyDescent="0.25">
      <c r="A47" s="179"/>
      <c r="B47" s="83"/>
      <c r="C47" s="90"/>
      <c r="D47" s="19"/>
      <c r="E47" s="19">
        <f>SUMIF(G8:G44,G47,E8:E44)</f>
        <v>33</v>
      </c>
      <c r="F47" s="19">
        <f>SUMIF(G8:G44,G47,F8:F44)</f>
        <v>1</v>
      </c>
      <c r="G47" s="180" t="s">
        <v>132</v>
      </c>
      <c r="H47" s="173"/>
    </row>
    <row r="48" spans="1:8" s="24" customFormat="1" ht="42.75" x14ac:dyDescent="0.25">
      <c r="A48" s="228"/>
      <c r="B48" s="229"/>
      <c r="C48" s="230"/>
      <c r="D48" s="231"/>
      <c r="E48" s="231">
        <f>SUMIF(G8:G44,G48,E8:E44)</f>
        <v>60</v>
      </c>
      <c r="F48" s="231">
        <f>SUMIF(G8:G44,G48,F8:F44)</f>
        <v>0</v>
      </c>
      <c r="G48" s="241" t="s">
        <v>241</v>
      </c>
      <c r="H48" s="173"/>
    </row>
    <row r="49" spans="1:11" x14ac:dyDescent="0.25">
      <c r="A49" s="232"/>
      <c r="B49" s="233"/>
      <c r="C49" s="234"/>
      <c r="D49" s="232"/>
      <c r="E49" s="232"/>
      <c r="F49" s="232"/>
      <c r="G49" s="233"/>
    </row>
    <row r="50" spans="1:11" x14ac:dyDescent="0.25">
      <c r="B50" s="201" t="s">
        <v>128</v>
      </c>
    </row>
    <row r="52" spans="1:11" ht="18.75" x14ac:dyDescent="0.3">
      <c r="B52" s="351" t="s">
        <v>288</v>
      </c>
      <c r="C52" s="352"/>
      <c r="D52" s="352"/>
      <c r="E52" s="352"/>
      <c r="F52" s="352"/>
      <c r="G52" s="352"/>
      <c r="H52" s="195" t="e">
        <f>I52+J52+K52</f>
        <v>#REF!</v>
      </c>
      <c r="I52" s="201" t="e">
        <f>#REF!</f>
        <v>#REF!</v>
      </c>
      <c r="J52" s="201" t="e">
        <f>#REF!</f>
        <v>#REF!</v>
      </c>
      <c r="K52" s="201">
        <f>'Белое озеро(после конкурса)'!A71</f>
        <v>59</v>
      </c>
    </row>
    <row r="54" spans="1:11" x14ac:dyDescent="0.25">
      <c r="B54" s="189" t="s">
        <v>129</v>
      </c>
    </row>
    <row r="55" spans="1:11" ht="52.5" customHeight="1" x14ac:dyDescent="0.25">
      <c r="B55" s="225" t="str">
        <f>G46</f>
        <v>"наниматели"</v>
      </c>
      <c r="C55" s="349" t="s">
        <v>289</v>
      </c>
      <c r="D55" s="350"/>
      <c r="E55" s="350"/>
      <c r="F55" s="350"/>
      <c r="G55" s="350"/>
    </row>
    <row r="56" spans="1:11" ht="46.5" customHeight="1" x14ac:dyDescent="0.25">
      <c r="B56" s="225" t="str">
        <f>G47</f>
        <v>"собственники и наниматели"</v>
      </c>
      <c r="C56" s="349" t="s">
        <v>290</v>
      </c>
      <c r="D56" s="350"/>
      <c r="E56" s="350"/>
      <c r="F56" s="350"/>
      <c r="G56" s="350"/>
    </row>
    <row r="57" spans="1:11" ht="45" x14ac:dyDescent="0.25">
      <c r="B57" s="235" t="str">
        <f>G48</f>
        <v>"собственники и наниматели" по итогам конкурса</v>
      </c>
      <c r="C57" s="349" t="s">
        <v>291</v>
      </c>
      <c r="D57" s="350"/>
      <c r="E57" s="350"/>
      <c r="F57" s="350"/>
      <c r="G57" s="350"/>
    </row>
  </sheetData>
  <sheetProtection selectLockedCells="1" selectUnlockedCells="1"/>
  <autoFilter ref="A7:K48"/>
  <mergeCells count="13">
    <mergeCell ref="A2:G2"/>
    <mergeCell ref="B3:F3"/>
    <mergeCell ref="A5:A6"/>
    <mergeCell ref="B5:B6"/>
    <mergeCell ref="C5:D5"/>
    <mergeCell ref="E5:E6"/>
    <mergeCell ref="F5:F6"/>
    <mergeCell ref="G5:G6"/>
    <mergeCell ref="I5:I6"/>
    <mergeCell ref="C56:G56"/>
    <mergeCell ref="C57:G57"/>
    <mergeCell ref="B52:G52"/>
    <mergeCell ref="C55:G55"/>
  </mergeCells>
  <pageMargins left="0.70866141732283472" right="0.31496062992125984" top="0.35433070866141736" bottom="0.35433070866141736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" sqref="I1:T1048576"/>
    </sheetView>
  </sheetViews>
  <sheetFormatPr defaultColWidth="9.140625" defaultRowHeight="15" x14ac:dyDescent="0.25"/>
  <cols>
    <col min="1" max="1" width="6.7109375" style="106" bestFit="1" customWidth="1"/>
    <col min="2" max="2" width="16.140625" style="27" customWidth="1"/>
    <col min="3" max="3" width="24.42578125" style="157" customWidth="1"/>
    <col min="4" max="4" width="18.85546875" style="106" customWidth="1"/>
    <col min="5" max="5" width="18" style="106" customWidth="1"/>
    <col min="6" max="6" width="21.7109375" style="106" customWidth="1"/>
    <col min="7" max="7" width="19.5703125" style="27" customWidth="1"/>
    <col min="8" max="8" width="8.28515625" style="27" bestFit="1" customWidth="1"/>
    <col min="9" max="15" width="16.42578125" style="246" customWidth="1"/>
    <col min="16" max="20" width="16.42578125" style="27" customWidth="1"/>
    <col min="21" max="16384" width="9.140625" style="27"/>
  </cols>
  <sheetData>
    <row r="1" spans="1:17" hidden="1" x14ac:dyDescent="0.25"/>
    <row r="2" spans="1:17" ht="19.5" customHeight="1" x14ac:dyDescent="0.3">
      <c r="A2" s="353" t="s">
        <v>231</v>
      </c>
      <c r="B2" s="354"/>
      <c r="C2" s="354"/>
      <c r="D2" s="354"/>
      <c r="E2" s="354"/>
      <c r="F2" s="354"/>
      <c r="G2" s="354"/>
    </row>
    <row r="3" spans="1:17" ht="22.5" hidden="1" customHeight="1" x14ac:dyDescent="0.25">
      <c r="B3" s="351"/>
      <c r="C3" s="352"/>
      <c r="D3" s="352"/>
      <c r="E3" s="352"/>
      <c r="F3" s="352"/>
    </row>
    <row r="4" spans="1:17" x14ac:dyDescent="0.25">
      <c r="G4" s="194"/>
    </row>
    <row r="5" spans="1:17" s="120" customFormat="1" ht="18.75" customHeight="1" x14ac:dyDescent="0.25">
      <c r="A5" s="343" t="s">
        <v>11</v>
      </c>
      <c r="B5" s="332" t="s">
        <v>111</v>
      </c>
      <c r="C5" s="332" t="s">
        <v>100</v>
      </c>
      <c r="D5" s="332"/>
      <c r="E5" s="332" t="s">
        <v>102</v>
      </c>
      <c r="F5" s="332" t="s">
        <v>103</v>
      </c>
      <c r="G5" s="343" t="s">
        <v>127</v>
      </c>
      <c r="H5" s="158"/>
      <c r="I5" s="348" t="s">
        <v>280</v>
      </c>
      <c r="J5" s="247"/>
      <c r="K5" s="247"/>
      <c r="L5" s="247"/>
      <c r="M5" s="247"/>
      <c r="N5" s="247"/>
      <c r="O5" s="247"/>
    </row>
    <row r="6" spans="1:17" s="120" customFormat="1" ht="43.5" customHeight="1" x14ac:dyDescent="0.25">
      <c r="A6" s="344"/>
      <c r="B6" s="355"/>
      <c r="C6" s="122" t="s">
        <v>101</v>
      </c>
      <c r="D6" s="119" t="s">
        <v>23</v>
      </c>
      <c r="E6" s="355"/>
      <c r="F6" s="355"/>
      <c r="G6" s="344"/>
      <c r="H6" s="158"/>
      <c r="I6" s="348"/>
      <c r="J6" s="247"/>
      <c r="K6" s="247"/>
      <c r="L6" s="247"/>
      <c r="M6" s="247"/>
      <c r="N6" s="247"/>
      <c r="O6" s="247"/>
    </row>
    <row r="7" spans="1:17" s="120" customFormat="1" ht="18" customHeight="1" x14ac:dyDescent="0.25">
      <c r="A7" s="119">
        <v>1</v>
      </c>
      <c r="B7" s="159">
        <v>2</v>
      </c>
      <c r="C7" s="122">
        <v>3</v>
      </c>
      <c r="D7" s="119">
        <v>4</v>
      </c>
      <c r="E7" s="159">
        <v>5</v>
      </c>
      <c r="F7" s="159">
        <v>6</v>
      </c>
      <c r="G7" s="119">
        <v>7</v>
      </c>
      <c r="H7" s="158"/>
      <c r="I7" s="245" t="s">
        <v>275</v>
      </c>
      <c r="J7" s="247"/>
      <c r="K7" s="247"/>
      <c r="L7" s="247"/>
      <c r="M7" s="247"/>
      <c r="N7" s="247"/>
      <c r="O7" s="247"/>
    </row>
    <row r="8" spans="1:17" s="121" customFormat="1" ht="48" x14ac:dyDescent="0.25">
      <c r="A8" s="160">
        <v>1</v>
      </c>
      <c r="B8" s="161" t="s">
        <v>121</v>
      </c>
      <c r="C8" s="162" t="s">
        <v>112</v>
      </c>
      <c r="D8" s="222">
        <v>43574</v>
      </c>
      <c r="E8" s="164">
        <v>53</v>
      </c>
      <c r="F8" s="164">
        <v>1</v>
      </c>
      <c r="G8" s="357" t="s">
        <v>125</v>
      </c>
      <c r="I8" s="248" t="s">
        <v>279</v>
      </c>
      <c r="J8" s="248" t="s">
        <v>283</v>
      </c>
      <c r="K8" s="283" t="s">
        <v>323</v>
      </c>
      <c r="L8" s="248" t="s">
        <v>319</v>
      </c>
      <c r="M8" s="248" t="s">
        <v>327</v>
      </c>
      <c r="N8" s="291" t="s">
        <v>340</v>
      </c>
      <c r="O8" s="248"/>
    </row>
    <row r="9" spans="1:17" s="121" customFormat="1" ht="48" x14ac:dyDescent="0.25">
      <c r="A9" s="15">
        <f>A8+1</f>
        <v>2</v>
      </c>
      <c r="B9" s="12" t="s">
        <v>120</v>
      </c>
      <c r="C9" s="165" t="s">
        <v>113</v>
      </c>
      <c r="D9" s="2">
        <v>43605</v>
      </c>
      <c r="E9" s="166">
        <f>185-F9</f>
        <v>181</v>
      </c>
      <c r="F9" s="166">
        <v>4</v>
      </c>
      <c r="G9" s="358"/>
      <c r="I9" s="248" t="s">
        <v>279</v>
      </c>
      <c r="J9" s="248" t="s">
        <v>282</v>
      </c>
      <c r="K9" s="248" t="s">
        <v>284</v>
      </c>
      <c r="L9" s="248" t="s">
        <v>285</v>
      </c>
      <c r="M9" s="248" t="s">
        <v>299</v>
      </c>
      <c r="N9" s="248" t="s">
        <v>319</v>
      </c>
      <c r="O9" s="248" t="s">
        <v>327</v>
      </c>
      <c r="P9" s="291" t="s">
        <v>338</v>
      </c>
      <c r="Q9" s="291" t="s">
        <v>339</v>
      </c>
    </row>
    <row r="10" spans="1:17" s="121" customFormat="1" ht="27" x14ac:dyDescent="0.25">
      <c r="A10" s="15">
        <f t="shared" ref="A10:A31" si="0">A9+1</f>
        <v>3</v>
      </c>
      <c r="B10" s="12" t="s">
        <v>120</v>
      </c>
      <c r="C10" s="165" t="s">
        <v>114</v>
      </c>
      <c r="D10" s="223">
        <v>43619</v>
      </c>
      <c r="E10" s="166">
        <f>89-F10</f>
        <v>82</v>
      </c>
      <c r="F10" s="166">
        <v>7</v>
      </c>
      <c r="G10" s="358"/>
      <c r="I10" s="248" t="s">
        <v>279</v>
      </c>
      <c r="J10" s="248" t="s">
        <v>285</v>
      </c>
      <c r="K10" s="248" t="s">
        <v>295</v>
      </c>
      <c r="L10" s="248"/>
      <c r="M10" s="248"/>
      <c r="N10" s="248"/>
      <c r="O10" s="248"/>
    </row>
    <row r="11" spans="1:17" s="121" customFormat="1" ht="27" x14ac:dyDescent="0.25">
      <c r="A11" s="15">
        <f t="shared" si="0"/>
        <v>4</v>
      </c>
      <c r="B11" s="12" t="s">
        <v>120</v>
      </c>
      <c r="C11" s="165" t="s">
        <v>115</v>
      </c>
      <c r="D11" s="2">
        <v>43626</v>
      </c>
      <c r="E11" s="166">
        <v>3</v>
      </c>
      <c r="F11" s="166">
        <v>0</v>
      </c>
      <c r="G11" s="358"/>
      <c r="I11" s="248" t="s">
        <v>279</v>
      </c>
      <c r="J11" s="248"/>
      <c r="K11" s="248"/>
      <c r="L11" s="248"/>
      <c r="M11" s="248"/>
      <c r="N11" s="248"/>
      <c r="O11" s="248"/>
    </row>
    <row r="12" spans="1:17" s="121" customFormat="1" ht="27" x14ac:dyDescent="0.25">
      <c r="A12" s="15">
        <f t="shared" si="0"/>
        <v>5</v>
      </c>
      <c r="B12" s="12" t="s">
        <v>122</v>
      </c>
      <c r="C12" s="165" t="s">
        <v>116</v>
      </c>
      <c r="D12" s="2">
        <v>43637</v>
      </c>
      <c r="E12" s="166">
        <f>60-F12</f>
        <v>58</v>
      </c>
      <c r="F12" s="166">
        <v>2</v>
      </c>
      <c r="G12" s="358"/>
      <c r="I12" s="248" t="s">
        <v>279</v>
      </c>
      <c r="J12" s="248" t="s">
        <v>304</v>
      </c>
      <c r="K12" s="248" t="s">
        <v>319</v>
      </c>
      <c r="L12" s="248" t="s">
        <v>327</v>
      </c>
      <c r="M12" s="283" t="s">
        <v>329</v>
      </c>
      <c r="N12" s="248"/>
      <c r="O12" s="248"/>
    </row>
    <row r="13" spans="1:17" s="121" customFormat="1" ht="48" x14ac:dyDescent="0.25">
      <c r="A13" s="15">
        <f t="shared" si="0"/>
        <v>6</v>
      </c>
      <c r="B13" s="12" t="s">
        <v>122</v>
      </c>
      <c r="C13" s="165" t="s">
        <v>117</v>
      </c>
      <c r="D13" s="2">
        <v>43642</v>
      </c>
      <c r="E13" s="107">
        <v>30</v>
      </c>
      <c r="F13" s="105">
        <v>0</v>
      </c>
      <c r="G13" s="167" t="s">
        <v>132</v>
      </c>
      <c r="I13" s="248" t="s">
        <v>284</v>
      </c>
      <c r="J13" s="248" t="s">
        <v>304</v>
      </c>
      <c r="K13" s="291" t="s">
        <v>338</v>
      </c>
      <c r="L13" s="248"/>
      <c r="M13" s="248"/>
      <c r="N13" s="248"/>
      <c r="O13" s="248"/>
    </row>
    <row r="14" spans="1:17" s="121" customFormat="1" ht="27" x14ac:dyDescent="0.25">
      <c r="A14" s="15">
        <f t="shared" si="0"/>
        <v>7</v>
      </c>
      <c r="B14" s="12" t="s">
        <v>122</v>
      </c>
      <c r="C14" s="165" t="s">
        <v>118</v>
      </c>
      <c r="D14" s="2">
        <v>43664</v>
      </c>
      <c r="E14" s="166">
        <v>5</v>
      </c>
      <c r="F14" s="166">
        <v>0</v>
      </c>
      <c r="G14" s="358" t="s">
        <v>125</v>
      </c>
      <c r="I14" s="248" t="s">
        <v>279</v>
      </c>
      <c r="J14" s="248"/>
      <c r="K14" s="248"/>
      <c r="L14" s="248"/>
      <c r="M14" s="248"/>
      <c r="N14" s="248"/>
      <c r="O14" s="248"/>
    </row>
    <row r="15" spans="1:17" s="121" customFormat="1" ht="48" x14ac:dyDescent="0.25">
      <c r="A15" s="15">
        <f t="shared" si="0"/>
        <v>8</v>
      </c>
      <c r="B15" s="12" t="s">
        <v>123</v>
      </c>
      <c r="C15" s="165" t="s">
        <v>119</v>
      </c>
      <c r="D15" s="2">
        <v>43664</v>
      </c>
      <c r="E15" s="166">
        <f>37-F15</f>
        <v>35</v>
      </c>
      <c r="F15" s="166">
        <v>2</v>
      </c>
      <c r="G15" s="358"/>
      <c r="I15" s="248" t="s">
        <v>279</v>
      </c>
      <c r="J15" s="248" t="s">
        <v>327</v>
      </c>
      <c r="K15" s="283" t="s">
        <v>329</v>
      </c>
      <c r="L15" s="291" t="s">
        <v>340</v>
      </c>
      <c r="M15" s="291" t="s">
        <v>342</v>
      </c>
      <c r="N15" s="248"/>
      <c r="O15" s="248"/>
    </row>
    <row r="16" spans="1:17" s="121" customFormat="1" ht="30" x14ac:dyDescent="0.25">
      <c r="A16" s="15">
        <f t="shared" si="0"/>
        <v>9</v>
      </c>
      <c r="B16" s="12" t="s">
        <v>123</v>
      </c>
      <c r="C16" s="165" t="s">
        <v>135</v>
      </c>
      <c r="D16" s="2">
        <v>43676</v>
      </c>
      <c r="E16" s="193">
        <v>53</v>
      </c>
      <c r="F16" s="105">
        <v>1</v>
      </c>
      <c r="G16" s="167" t="s">
        <v>132</v>
      </c>
      <c r="I16" s="248"/>
      <c r="J16" s="248"/>
      <c r="K16" s="248"/>
      <c r="L16" s="248"/>
      <c r="M16" s="248"/>
      <c r="N16" s="248"/>
      <c r="O16" s="248"/>
    </row>
    <row r="17" spans="1:15" s="121" customFormat="1" ht="27" x14ac:dyDescent="0.25">
      <c r="A17" s="15">
        <f t="shared" si="0"/>
        <v>10</v>
      </c>
      <c r="B17" s="12" t="s">
        <v>124</v>
      </c>
      <c r="C17" s="165" t="s">
        <v>206</v>
      </c>
      <c r="D17" s="2">
        <v>43690</v>
      </c>
      <c r="E17" s="166">
        <v>0</v>
      </c>
      <c r="F17" s="166">
        <v>3</v>
      </c>
      <c r="G17" s="168" t="s">
        <v>125</v>
      </c>
      <c r="I17" s="248" t="s">
        <v>279</v>
      </c>
      <c r="J17" s="248"/>
      <c r="K17" s="248"/>
      <c r="L17" s="248"/>
      <c r="M17" s="248"/>
      <c r="N17" s="248"/>
      <c r="O17" s="248"/>
    </row>
    <row r="18" spans="1:15" s="121" customFormat="1" ht="60" x14ac:dyDescent="0.25">
      <c r="A18" s="15">
        <f t="shared" si="0"/>
        <v>11</v>
      </c>
      <c r="B18" s="12" t="s">
        <v>123</v>
      </c>
      <c r="C18" s="165" t="s">
        <v>209</v>
      </c>
      <c r="D18" s="2">
        <v>43700</v>
      </c>
      <c r="E18" s="191">
        <v>57</v>
      </c>
      <c r="F18" s="191">
        <v>0</v>
      </c>
      <c r="G18" s="192" t="s">
        <v>227</v>
      </c>
      <c r="I18" s="248" t="s">
        <v>307</v>
      </c>
      <c r="J18" s="248"/>
      <c r="K18" s="248"/>
      <c r="L18" s="248"/>
      <c r="M18" s="248"/>
      <c r="N18" s="248"/>
      <c r="O18" s="248"/>
    </row>
    <row r="19" spans="1:15" s="121" customFormat="1" ht="48" x14ac:dyDescent="0.25">
      <c r="A19" s="15">
        <f t="shared" si="0"/>
        <v>12</v>
      </c>
      <c r="B19" s="12" t="s">
        <v>123</v>
      </c>
      <c r="C19" s="165" t="s">
        <v>214</v>
      </c>
      <c r="D19" s="2">
        <v>43707</v>
      </c>
      <c r="E19" s="166">
        <v>8</v>
      </c>
      <c r="F19" s="166">
        <v>0</v>
      </c>
      <c r="G19" s="168" t="s">
        <v>125</v>
      </c>
      <c r="I19" s="248" t="s">
        <v>279</v>
      </c>
      <c r="J19" s="291" t="s">
        <v>338</v>
      </c>
      <c r="K19" s="248"/>
      <c r="L19" s="248"/>
      <c r="M19" s="248"/>
      <c r="N19" s="248"/>
      <c r="O19" s="248"/>
    </row>
    <row r="20" spans="1:15" s="121" customFormat="1" ht="27" x14ac:dyDescent="0.25">
      <c r="A20" s="15">
        <f t="shared" si="0"/>
        <v>13</v>
      </c>
      <c r="B20" s="12" t="s">
        <v>205</v>
      </c>
      <c r="C20" s="165" t="s">
        <v>215</v>
      </c>
      <c r="D20" s="2">
        <v>43705</v>
      </c>
      <c r="E20" s="166">
        <v>7</v>
      </c>
      <c r="F20" s="166">
        <v>0</v>
      </c>
      <c r="G20" s="168" t="s">
        <v>125</v>
      </c>
      <c r="I20" s="248" t="s">
        <v>279</v>
      </c>
      <c r="J20" s="248"/>
      <c r="K20" s="248"/>
      <c r="L20" s="248"/>
      <c r="M20" s="248"/>
      <c r="N20" s="248"/>
      <c r="O20" s="248"/>
    </row>
    <row r="21" spans="1:15" s="121" customFormat="1" ht="48" x14ac:dyDescent="0.25">
      <c r="A21" s="15">
        <f t="shared" si="0"/>
        <v>14</v>
      </c>
      <c r="B21" s="12" t="s">
        <v>205</v>
      </c>
      <c r="C21" s="165" t="s">
        <v>213</v>
      </c>
      <c r="D21" s="2">
        <v>43707</v>
      </c>
      <c r="E21" s="107">
        <v>65</v>
      </c>
      <c r="F21" s="105">
        <v>0</v>
      </c>
      <c r="G21" s="167" t="s">
        <v>132</v>
      </c>
      <c r="I21" s="283" t="s">
        <v>329</v>
      </c>
      <c r="J21" s="291" t="s">
        <v>341</v>
      </c>
      <c r="K21" s="248"/>
      <c r="L21" s="248"/>
      <c r="M21" s="248"/>
      <c r="N21" s="248"/>
      <c r="O21" s="248"/>
    </row>
    <row r="22" spans="1:15" s="121" customFormat="1" ht="48" x14ac:dyDescent="0.25">
      <c r="A22" s="15">
        <f t="shared" si="0"/>
        <v>15</v>
      </c>
      <c r="B22" s="359" t="s">
        <v>205</v>
      </c>
      <c r="C22" s="165" t="s">
        <v>216</v>
      </c>
      <c r="D22" s="2">
        <v>43720</v>
      </c>
      <c r="E22" s="166">
        <v>74</v>
      </c>
      <c r="F22" s="166">
        <v>13</v>
      </c>
      <c r="G22" s="362" t="s">
        <v>125</v>
      </c>
      <c r="I22" s="248" t="s">
        <v>276</v>
      </c>
      <c r="J22" s="248" t="s">
        <v>277</v>
      </c>
      <c r="K22" s="248" t="s">
        <v>279</v>
      </c>
      <c r="L22" s="283" t="s">
        <v>329</v>
      </c>
      <c r="M22" s="291" t="s">
        <v>343</v>
      </c>
      <c r="N22" s="248"/>
      <c r="O22" s="248"/>
    </row>
    <row r="23" spans="1:15" s="121" customFormat="1" ht="105" x14ac:dyDescent="0.25">
      <c r="A23" s="15">
        <v>16</v>
      </c>
      <c r="B23" s="360"/>
      <c r="C23" s="165" t="s">
        <v>325</v>
      </c>
      <c r="D23" s="2">
        <v>43780</v>
      </c>
      <c r="E23" s="166">
        <v>-35</v>
      </c>
      <c r="F23" s="166">
        <v>0</v>
      </c>
      <c r="G23" s="363"/>
      <c r="H23" s="18"/>
      <c r="I23" s="248"/>
      <c r="J23" s="248"/>
      <c r="K23" s="248"/>
      <c r="L23" s="248"/>
      <c r="M23" s="248"/>
      <c r="N23" s="248"/>
      <c r="O23" s="248"/>
    </row>
    <row r="24" spans="1:15" s="121" customFormat="1" ht="42.75" x14ac:dyDescent="0.25">
      <c r="A24" s="15">
        <v>17</v>
      </c>
      <c r="B24" s="361"/>
      <c r="C24" s="165" t="s">
        <v>221</v>
      </c>
      <c r="D24" s="2">
        <v>43747</v>
      </c>
      <c r="E24" s="166" t="s">
        <v>229</v>
      </c>
      <c r="F24" s="166">
        <v>0</v>
      </c>
      <c r="G24" s="364"/>
      <c r="H24" s="169"/>
      <c r="I24" s="248"/>
      <c r="J24" s="248"/>
      <c r="K24" s="248"/>
      <c r="L24" s="248"/>
      <c r="M24" s="248"/>
      <c r="N24" s="248"/>
      <c r="O24" s="248"/>
    </row>
    <row r="25" spans="1:15" s="121" customFormat="1" ht="48" x14ac:dyDescent="0.25">
      <c r="A25" s="15">
        <f t="shared" si="0"/>
        <v>18</v>
      </c>
      <c r="B25" s="12" t="s">
        <v>123</v>
      </c>
      <c r="C25" s="165" t="s">
        <v>220</v>
      </c>
      <c r="D25" s="2">
        <v>43725</v>
      </c>
      <c r="E25" s="166">
        <v>57</v>
      </c>
      <c r="F25" s="166">
        <v>0</v>
      </c>
      <c r="G25" s="168" t="s">
        <v>125</v>
      </c>
      <c r="I25" s="248" t="s">
        <v>279</v>
      </c>
      <c r="J25" s="291" t="s">
        <v>343</v>
      </c>
      <c r="K25" s="248"/>
      <c r="L25" s="248"/>
      <c r="M25" s="248"/>
      <c r="N25" s="248"/>
      <c r="O25" s="248"/>
    </row>
    <row r="26" spans="1:15" s="121" customFormat="1" ht="27" x14ac:dyDescent="0.25">
      <c r="A26" s="15">
        <f t="shared" si="0"/>
        <v>19</v>
      </c>
      <c r="B26" s="12" t="s">
        <v>219</v>
      </c>
      <c r="C26" s="165" t="s">
        <v>222</v>
      </c>
      <c r="D26" s="2">
        <v>43761</v>
      </c>
      <c r="E26" s="166">
        <v>5</v>
      </c>
      <c r="F26" s="166">
        <v>0</v>
      </c>
      <c r="G26" s="168" t="s">
        <v>125</v>
      </c>
      <c r="I26" s="248" t="s">
        <v>279</v>
      </c>
      <c r="J26" s="248"/>
      <c r="K26" s="248"/>
      <c r="L26" s="248"/>
      <c r="M26" s="248"/>
      <c r="N26" s="248"/>
      <c r="O26" s="248"/>
    </row>
    <row r="27" spans="1:15" s="121" customFormat="1" ht="30" x14ac:dyDescent="0.25">
      <c r="A27" s="15">
        <f t="shared" si="0"/>
        <v>20</v>
      </c>
      <c r="B27" s="12" t="s">
        <v>219</v>
      </c>
      <c r="C27" s="165" t="s">
        <v>218</v>
      </c>
      <c r="D27" s="2">
        <v>43755</v>
      </c>
      <c r="E27" s="107">
        <v>2</v>
      </c>
      <c r="F27" s="105">
        <v>0</v>
      </c>
      <c r="G27" s="167" t="s">
        <v>132</v>
      </c>
      <c r="I27" s="248"/>
      <c r="J27" s="248"/>
      <c r="K27" s="248"/>
      <c r="L27" s="248"/>
      <c r="M27" s="248"/>
      <c r="N27" s="248"/>
      <c r="O27" s="248"/>
    </row>
    <row r="28" spans="1:15" s="121" customFormat="1" ht="30" x14ac:dyDescent="0.25">
      <c r="A28" s="15">
        <f t="shared" si="0"/>
        <v>21</v>
      </c>
      <c r="B28" s="12" t="s">
        <v>219</v>
      </c>
      <c r="C28" s="165" t="s">
        <v>224</v>
      </c>
      <c r="D28" s="223">
        <v>43784</v>
      </c>
      <c r="E28" s="107">
        <v>12</v>
      </c>
      <c r="F28" s="105">
        <v>0</v>
      </c>
      <c r="G28" s="167" t="s">
        <v>132</v>
      </c>
      <c r="I28" s="248"/>
      <c r="J28" s="248"/>
      <c r="K28" s="248"/>
      <c r="L28" s="248"/>
      <c r="M28" s="248"/>
      <c r="N28" s="248"/>
      <c r="O28" s="248"/>
    </row>
    <row r="29" spans="1:15" s="121" customFormat="1" ht="48" x14ac:dyDescent="0.25">
      <c r="A29" s="15">
        <f t="shared" si="0"/>
        <v>22</v>
      </c>
      <c r="B29" s="12" t="s">
        <v>219</v>
      </c>
      <c r="C29" s="165" t="s">
        <v>223</v>
      </c>
      <c r="D29" s="2">
        <v>43802</v>
      </c>
      <c r="E29" s="166">
        <v>87</v>
      </c>
      <c r="F29" s="166">
        <v>0</v>
      </c>
      <c r="G29" s="168" t="s">
        <v>125</v>
      </c>
      <c r="I29" s="248" t="s">
        <v>279</v>
      </c>
      <c r="J29" s="283" t="s">
        <v>333</v>
      </c>
      <c r="K29" s="291" t="s">
        <v>336</v>
      </c>
      <c r="L29" s="248"/>
      <c r="M29" s="248"/>
      <c r="N29" s="248"/>
      <c r="O29" s="248"/>
    </row>
    <row r="30" spans="1:15" s="121" customFormat="1" ht="30" x14ac:dyDescent="0.25">
      <c r="A30" s="15">
        <f t="shared" si="0"/>
        <v>23</v>
      </c>
      <c r="B30" s="108" t="s">
        <v>235</v>
      </c>
      <c r="C30" s="190" t="s">
        <v>234</v>
      </c>
      <c r="D30" s="111">
        <v>43818</v>
      </c>
      <c r="E30" s="107">
        <v>67</v>
      </c>
      <c r="F30" s="105">
        <v>2</v>
      </c>
      <c r="G30" s="167" t="s">
        <v>132</v>
      </c>
      <c r="I30" s="248"/>
      <c r="J30" s="248"/>
      <c r="K30" s="248"/>
      <c r="L30" s="248"/>
      <c r="M30" s="248"/>
      <c r="N30" s="248"/>
      <c r="O30" s="248"/>
    </row>
    <row r="31" spans="1:15" s="121" customFormat="1" ht="54" x14ac:dyDescent="0.25">
      <c r="A31" s="15">
        <f t="shared" si="0"/>
        <v>24</v>
      </c>
      <c r="B31" s="108" t="s">
        <v>238</v>
      </c>
      <c r="C31" s="190" t="s">
        <v>236</v>
      </c>
      <c r="D31" s="111">
        <v>43818</v>
      </c>
      <c r="E31" s="112">
        <v>34</v>
      </c>
      <c r="F31" s="112">
        <v>4</v>
      </c>
      <c r="G31" s="168" t="s">
        <v>125</v>
      </c>
      <c r="I31" s="248" t="s">
        <v>279</v>
      </c>
      <c r="J31" s="248" t="s">
        <v>281</v>
      </c>
      <c r="K31" s="280" t="s">
        <v>337</v>
      </c>
      <c r="L31" s="248"/>
      <c r="M31" s="248"/>
      <c r="N31" s="248"/>
      <c r="O31" s="248"/>
    </row>
    <row r="32" spans="1:15" s="121" customFormat="1" hidden="1" x14ac:dyDescent="0.25">
      <c r="A32" s="109"/>
      <c r="B32" s="108"/>
      <c r="C32" s="110"/>
      <c r="D32" s="111"/>
      <c r="E32" s="112"/>
      <c r="F32" s="112"/>
      <c r="G32" s="113"/>
      <c r="I32" s="248"/>
      <c r="J32" s="248"/>
      <c r="K32" s="248"/>
      <c r="L32" s="248"/>
      <c r="M32" s="248"/>
      <c r="N32" s="248"/>
      <c r="O32" s="248"/>
    </row>
    <row r="33" spans="1:15" s="121" customFormat="1" hidden="1" x14ac:dyDescent="0.25">
      <c r="A33" s="109"/>
      <c r="B33" s="108"/>
      <c r="C33" s="110"/>
      <c r="D33" s="111"/>
      <c r="E33" s="112"/>
      <c r="F33" s="112"/>
      <c r="G33" s="113"/>
      <c r="I33" s="248"/>
      <c r="J33" s="248"/>
      <c r="K33" s="248"/>
      <c r="L33" s="248"/>
      <c r="M33" s="248"/>
      <c r="N33" s="248"/>
      <c r="O33" s="248"/>
    </row>
    <row r="34" spans="1:15" s="121" customFormat="1" hidden="1" x14ac:dyDescent="0.25">
      <c r="A34" s="109"/>
      <c r="B34" s="108"/>
      <c r="C34" s="110"/>
      <c r="D34" s="111"/>
      <c r="E34" s="112"/>
      <c r="F34" s="112"/>
      <c r="G34" s="113"/>
      <c r="I34" s="248"/>
      <c r="J34" s="248"/>
      <c r="K34" s="248"/>
      <c r="L34" s="248"/>
      <c r="M34" s="248"/>
      <c r="N34" s="248"/>
      <c r="O34" s="248"/>
    </row>
    <row r="35" spans="1:15" s="121" customFormat="1" hidden="1" x14ac:dyDescent="0.25">
      <c r="A35" s="109"/>
      <c r="B35" s="108"/>
      <c r="C35" s="110"/>
      <c r="D35" s="111"/>
      <c r="E35" s="112"/>
      <c r="F35" s="112"/>
      <c r="G35" s="113"/>
      <c r="I35" s="248"/>
      <c r="J35" s="248"/>
      <c r="K35" s="248"/>
      <c r="L35" s="248"/>
      <c r="M35" s="248"/>
      <c r="N35" s="248"/>
      <c r="O35" s="248"/>
    </row>
    <row r="36" spans="1:15" s="121" customFormat="1" hidden="1" x14ac:dyDescent="0.25">
      <c r="A36" s="109"/>
      <c r="B36" s="108"/>
      <c r="C36" s="110"/>
      <c r="D36" s="111"/>
      <c r="E36" s="112"/>
      <c r="F36" s="112"/>
      <c r="G36" s="113"/>
      <c r="I36" s="248"/>
      <c r="J36" s="248"/>
      <c r="K36" s="248"/>
      <c r="L36" s="248"/>
      <c r="M36" s="248"/>
      <c r="N36" s="248"/>
      <c r="O36" s="248"/>
    </row>
    <row r="37" spans="1:15" s="121" customFormat="1" hidden="1" x14ac:dyDescent="0.25">
      <c r="A37" s="109"/>
      <c r="B37" s="108"/>
      <c r="C37" s="110"/>
      <c r="D37" s="111"/>
      <c r="E37" s="112"/>
      <c r="F37" s="112"/>
      <c r="G37" s="113"/>
      <c r="I37" s="248"/>
      <c r="J37" s="248"/>
      <c r="K37" s="248"/>
      <c r="L37" s="248"/>
      <c r="M37" s="248"/>
      <c r="N37" s="248"/>
      <c r="O37" s="248"/>
    </row>
    <row r="38" spans="1:15" s="121" customFormat="1" hidden="1" x14ac:dyDescent="0.25">
      <c r="A38" s="109"/>
      <c r="B38" s="108"/>
      <c r="C38" s="110"/>
      <c r="D38" s="111"/>
      <c r="E38" s="112"/>
      <c r="F38" s="112"/>
      <c r="G38" s="113"/>
      <c r="I38" s="248"/>
      <c r="J38" s="248"/>
      <c r="K38" s="248"/>
      <c r="L38" s="248"/>
      <c r="M38" s="248"/>
      <c r="N38" s="248"/>
      <c r="O38" s="248"/>
    </row>
    <row r="39" spans="1:15" s="121" customFormat="1" hidden="1" x14ac:dyDescent="0.25">
      <c r="A39" s="109"/>
      <c r="B39" s="108"/>
      <c r="C39" s="110"/>
      <c r="D39" s="111"/>
      <c r="E39" s="112"/>
      <c r="F39" s="112"/>
      <c r="G39" s="113"/>
      <c r="I39" s="248"/>
      <c r="J39" s="248"/>
      <c r="K39" s="248"/>
      <c r="L39" s="248"/>
      <c r="M39" s="248"/>
      <c r="N39" s="248"/>
      <c r="O39" s="248"/>
    </row>
    <row r="40" spans="1:15" s="121" customFormat="1" hidden="1" x14ac:dyDescent="0.25">
      <c r="A40" s="109"/>
      <c r="B40" s="108"/>
      <c r="C40" s="110"/>
      <c r="D40" s="111"/>
      <c r="E40" s="112"/>
      <c r="F40" s="112"/>
      <c r="G40" s="113"/>
      <c r="I40" s="248"/>
      <c r="J40" s="248"/>
      <c r="K40" s="248"/>
      <c r="L40" s="248"/>
      <c r="M40" s="248"/>
      <c r="N40" s="248"/>
      <c r="O40" s="248"/>
    </row>
    <row r="41" spans="1:15" hidden="1" x14ac:dyDescent="0.25">
      <c r="A41" s="114"/>
      <c r="B41" s="115"/>
      <c r="C41" s="116"/>
      <c r="D41" s="117"/>
      <c r="E41" s="117"/>
      <c r="F41" s="117"/>
      <c r="G41" s="118"/>
    </row>
    <row r="42" spans="1:15" s="24" customFormat="1" ht="14.25" x14ac:dyDescent="0.25">
      <c r="A42" s="170"/>
      <c r="B42" s="171" t="s">
        <v>230</v>
      </c>
      <c r="C42" s="172"/>
      <c r="D42" s="170"/>
      <c r="E42" s="170">
        <f>SUM(E8:E41)</f>
        <v>940</v>
      </c>
      <c r="F42" s="170">
        <f>SUM(F8:F41)</f>
        <v>39</v>
      </c>
      <c r="G42" s="171"/>
      <c r="H42" s="173" t="e">
        <f>(E42+F42)/H50</f>
        <v>#REF!</v>
      </c>
      <c r="I42" s="249"/>
      <c r="J42" s="249"/>
      <c r="K42" s="249"/>
      <c r="L42" s="249"/>
      <c r="M42" s="249"/>
      <c r="N42" s="249"/>
      <c r="O42" s="249"/>
    </row>
    <row r="43" spans="1:15" s="24" customFormat="1" ht="14.25" x14ac:dyDescent="0.25">
      <c r="A43" s="174"/>
      <c r="B43" s="175"/>
      <c r="C43" s="176"/>
      <c r="D43" s="177"/>
      <c r="E43" s="177">
        <f>E8+E9+E10+E11+E12+E14+E15+E17+E19+E20+E23+E25+E26+E29+E22+E31</f>
        <v>654</v>
      </c>
      <c r="F43" s="177">
        <f>F8+F9+F10+F11+F12+F14+F15+F17+F19+F20+F22+F23+F24+F25+F26+F29+F31</f>
        <v>36</v>
      </c>
      <c r="G43" s="178" t="s">
        <v>125</v>
      </c>
      <c r="H43" s="173"/>
      <c r="I43" s="249"/>
      <c r="J43" s="249"/>
      <c r="K43" s="249"/>
      <c r="L43" s="249"/>
      <c r="M43" s="249"/>
      <c r="N43" s="249"/>
      <c r="O43" s="249"/>
    </row>
    <row r="44" spans="1:15" s="24" customFormat="1" ht="28.5" x14ac:dyDescent="0.25">
      <c r="A44" s="179"/>
      <c r="B44" s="83"/>
      <c r="C44" s="90"/>
      <c r="D44" s="19"/>
      <c r="E44" s="19">
        <f>E13+E16+E21+E27+E28+E30</f>
        <v>229</v>
      </c>
      <c r="F44" s="19">
        <f>F13+F16+F21+F27+F28+F30</f>
        <v>3</v>
      </c>
      <c r="G44" s="180" t="s">
        <v>132</v>
      </c>
      <c r="H44" s="173"/>
      <c r="I44" s="249"/>
      <c r="J44" s="249"/>
      <c r="K44" s="249"/>
      <c r="L44" s="249"/>
      <c r="M44" s="249"/>
      <c r="N44" s="249"/>
      <c r="O44" s="249"/>
    </row>
    <row r="45" spans="1:15" s="24" customFormat="1" ht="42.75" x14ac:dyDescent="0.25">
      <c r="A45" s="181"/>
      <c r="B45" s="182"/>
      <c r="C45" s="183"/>
      <c r="D45" s="184"/>
      <c r="E45" s="184">
        <f>E18</f>
        <v>57</v>
      </c>
      <c r="F45" s="184"/>
      <c r="G45" s="185" t="s">
        <v>228</v>
      </c>
      <c r="H45" s="173"/>
      <c r="I45" s="249"/>
      <c r="J45" s="249"/>
      <c r="K45" s="249"/>
      <c r="L45" s="249"/>
      <c r="M45" s="249"/>
      <c r="N45" s="249"/>
      <c r="O45" s="249"/>
    </row>
    <row r="46" spans="1:15" s="24" customFormat="1" ht="14.25" x14ac:dyDescent="0.25">
      <c r="A46" s="186"/>
      <c r="B46" s="187"/>
      <c r="C46" s="188"/>
      <c r="D46" s="186"/>
      <c r="E46" s="186"/>
      <c r="F46" s="186"/>
      <c r="G46" s="187"/>
      <c r="H46" s="173"/>
      <c r="I46" s="249"/>
      <c r="J46" s="249"/>
      <c r="K46" s="249"/>
      <c r="L46" s="249"/>
      <c r="M46" s="249"/>
      <c r="N46" s="249"/>
      <c r="O46" s="249"/>
    </row>
    <row r="48" spans="1:15" x14ac:dyDescent="0.25">
      <c r="B48" s="27" t="s">
        <v>128</v>
      </c>
    </row>
    <row r="50" spans="2:11" ht="18.75" x14ac:dyDescent="0.3">
      <c r="B50" s="351" t="s">
        <v>237</v>
      </c>
      <c r="C50" s="352"/>
      <c r="D50" s="352"/>
      <c r="E50" s="352"/>
      <c r="F50" s="352"/>
      <c r="G50" s="352"/>
      <c r="H50" s="195" t="e">
        <f>I50+J50+K50</f>
        <v>#REF!</v>
      </c>
      <c r="I50" s="246" t="e">
        <f>#REF!</f>
        <v>#REF!</v>
      </c>
      <c r="J50" s="246" t="e">
        <f>#REF!</f>
        <v>#REF!</v>
      </c>
      <c r="K50" s="246">
        <f>'Белое озеро(после конкурса)'!A71</f>
        <v>59</v>
      </c>
    </row>
    <row r="52" spans="2:11" x14ac:dyDescent="0.25">
      <c r="B52" s="189" t="s">
        <v>129</v>
      </c>
    </row>
    <row r="53" spans="2:11" ht="52.5" customHeight="1" x14ac:dyDescent="0.25">
      <c r="B53" s="120" t="s">
        <v>131</v>
      </c>
      <c r="C53" s="319" t="s">
        <v>130</v>
      </c>
      <c r="D53" s="356"/>
      <c r="E53" s="356"/>
      <c r="F53" s="356"/>
      <c r="G53" s="356"/>
    </row>
    <row r="54" spans="2:11" ht="46.5" customHeight="1" x14ac:dyDescent="0.25">
      <c r="B54" s="120" t="s">
        <v>134</v>
      </c>
      <c r="C54" s="319" t="s">
        <v>133</v>
      </c>
      <c r="D54" s="356"/>
      <c r="E54" s="356"/>
      <c r="F54" s="356"/>
      <c r="G54" s="356"/>
    </row>
    <row r="55" spans="2:11" ht="45" x14ac:dyDescent="0.25">
      <c r="B55" s="27" t="s">
        <v>203</v>
      </c>
      <c r="C55" s="319" t="s">
        <v>204</v>
      </c>
      <c r="D55" s="356"/>
      <c r="E55" s="356"/>
      <c r="F55" s="356"/>
      <c r="G55" s="356"/>
    </row>
  </sheetData>
  <sheetProtection selectLockedCells="1" selectUnlockedCells="1"/>
  <autoFilter ref="A7:K31"/>
  <mergeCells count="17">
    <mergeCell ref="I5:I6"/>
    <mergeCell ref="A2:G2"/>
    <mergeCell ref="B3:F3"/>
    <mergeCell ref="C55:G55"/>
    <mergeCell ref="A5:A6"/>
    <mergeCell ref="C53:G53"/>
    <mergeCell ref="C54:G54"/>
    <mergeCell ref="B50:G50"/>
    <mergeCell ref="C5:D5"/>
    <mergeCell ref="B5:B6"/>
    <mergeCell ref="E5:E6"/>
    <mergeCell ref="F5:F6"/>
    <mergeCell ref="G5:G6"/>
    <mergeCell ref="G8:G12"/>
    <mergeCell ref="G14:G15"/>
    <mergeCell ref="B22:B24"/>
    <mergeCell ref="G22:G24"/>
  </mergeCells>
  <hyperlinks>
    <hyperlink ref="C29" r:id="rId1"/>
    <hyperlink ref="C28" r:id="rId2"/>
    <hyperlink ref="C27" r:id="rId3"/>
    <hyperlink ref="C26" r:id="rId4"/>
    <hyperlink ref="C25" r:id="rId5"/>
    <hyperlink ref="C24" r:id="rId6"/>
    <hyperlink ref="C23" r:id="rId7" display="352-па от 12.09.2019 с 01.09.2019 + внесение изменений 383-па, 431-па\431-па внесение изменений - Юбилейная, 23\431-па от 11.11.2019 обр.pdf"/>
    <hyperlink ref="C22" r:id="rId8"/>
    <hyperlink ref="C21" r:id="rId9"/>
    <hyperlink ref="C20" r:id="rId10"/>
    <hyperlink ref="C19" r:id="rId11"/>
    <hyperlink ref="C18" r:id="rId12"/>
    <hyperlink ref="C17" r:id="rId13"/>
    <hyperlink ref="C16" r:id="rId14"/>
    <hyperlink ref="C15" r:id="rId15"/>
    <hyperlink ref="C14" r:id="rId16"/>
    <hyperlink ref="C13" r:id="rId17"/>
    <hyperlink ref="C12" r:id="rId18"/>
    <hyperlink ref="C11" r:id="rId19"/>
    <hyperlink ref="C10" r:id="rId20"/>
    <hyperlink ref="C9" r:id="rId21"/>
    <hyperlink ref="C8" r:id="rId22"/>
    <hyperlink ref="C30" r:id="rId23"/>
    <hyperlink ref="C31" r:id="rId24"/>
  </hyperlinks>
  <pageMargins left="0.70866141732283472" right="0.31496062992125984" top="0.35433070866141736" bottom="0.35433070866141736" header="0.31496062992125984" footer="0.31496062992125984"/>
  <pageSetup paperSize="9" scale="53" orientation="portrait" r:id="rId25"/>
  <legacy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90" zoomScaleNormal="90" workbookViewId="0">
      <selection activeCell="K23" sqref="K23"/>
    </sheetView>
  </sheetViews>
  <sheetFormatPr defaultColWidth="9.140625" defaultRowHeight="15" x14ac:dyDescent="0.25"/>
  <cols>
    <col min="1" max="1" width="6.28515625" style="212" customWidth="1"/>
    <col min="2" max="2" width="48.7109375" style="212" customWidth="1"/>
    <col min="3" max="3" width="16" style="212" customWidth="1"/>
    <col min="4" max="4" width="16.7109375" style="212" customWidth="1"/>
    <col min="5" max="6" width="16.7109375" style="214" customWidth="1"/>
    <col min="7" max="7" width="16.7109375" style="212" customWidth="1"/>
    <col min="8" max="12" width="16" style="212" customWidth="1"/>
    <col min="13" max="13" width="50.140625" style="206" customWidth="1"/>
    <col min="14" max="16384" width="9.140625" style="206"/>
  </cols>
  <sheetData>
    <row r="2" spans="1:13" x14ac:dyDescent="0.25">
      <c r="A2" s="365" t="s">
        <v>332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4" spans="1:13" ht="15" customHeight="1" x14ac:dyDescent="0.25">
      <c r="A4" s="366" t="s">
        <v>244</v>
      </c>
      <c r="B4" s="366" t="s">
        <v>245</v>
      </c>
      <c r="C4" s="367" t="s">
        <v>246</v>
      </c>
      <c r="D4" s="366" t="s">
        <v>261</v>
      </c>
      <c r="E4" s="366"/>
      <c r="F4" s="366"/>
      <c r="G4" s="366"/>
      <c r="H4" s="370" t="s">
        <v>247</v>
      </c>
      <c r="I4" s="371"/>
      <c r="J4" s="366" t="s">
        <v>248</v>
      </c>
      <c r="K4" s="366"/>
      <c r="L4" s="366"/>
    </row>
    <row r="5" spans="1:13" ht="36.75" customHeight="1" x14ac:dyDescent="0.25">
      <c r="A5" s="366"/>
      <c r="B5" s="366"/>
      <c r="C5" s="368"/>
      <c r="D5" s="366"/>
      <c r="E5" s="366"/>
      <c r="F5" s="366"/>
      <c r="G5" s="366"/>
      <c r="H5" s="372"/>
      <c r="I5" s="373"/>
      <c r="J5" s="366" t="s">
        <v>249</v>
      </c>
      <c r="K5" s="370" t="s">
        <v>250</v>
      </c>
      <c r="L5" s="371"/>
    </row>
    <row r="6" spans="1:13" ht="36.75" customHeight="1" x14ac:dyDescent="0.25">
      <c r="A6" s="366"/>
      <c r="B6" s="366"/>
      <c r="C6" s="369"/>
      <c r="D6" s="213" t="s">
        <v>262</v>
      </c>
      <c r="E6" s="213" t="s">
        <v>263</v>
      </c>
      <c r="F6" s="213" t="s">
        <v>264</v>
      </c>
      <c r="G6" s="367" t="s">
        <v>108</v>
      </c>
      <c r="H6" s="374"/>
      <c r="I6" s="375"/>
      <c r="J6" s="366"/>
      <c r="K6" s="374"/>
      <c r="L6" s="375"/>
    </row>
    <row r="7" spans="1:13" x14ac:dyDescent="0.25">
      <c r="A7" s="366"/>
      <c r="B7" s="366"/>
      <c r="C7" s="204" t="s">
        <v>251</v>
      </c>
      <c r="D7" s="204" t="s">
        <v>251</v>
      </c>
      <c r="E7" s="213" t="s">
        <v>251</v>
      </c>
      <c r="F7" s="213" t="s">
        <v>251</v>
      </c>
      <c r="G7" s="369"/>
      <c r="H7" s="204" t="s">
        <v>251</v>
      </c>
      <c r="I7" s="204" t="s">
        <v>108</v>
      </c>
      <c r="J7" s="366"/>
      <c r="K7" s="204" t="s">
        <v>251</v>
      </c>
      <c r="L7" s="204" t="s">
        <v>108</v>
      </c>
    </row>
    <row r="8" spans="1:13" ht="35.25" customHeight="1" x14ac:dyDescent="0.25">
      <c r="A8" s="207">
        <v>1</v>
      </c>
      <c r="B8" s="207" t="s">
        <v>287</v>
      </c>
      <c r="C8" s="282">
        <f>171+13</f>
        <v>184</v>
      </c>
      <c r="D8" s="284"/>
      <c r="E8" s="284"/>
      <c r="F8" s="284">
        <f>D8+E8</f>
        <v>0</v>
      </c>
      <c r="G8" s="285">
        <f>F8/C8</f>
        <v>0</v>
      </c>
      <c r="H8" s="284"/>
      <c r="I8" s="242">
        <f>H8/C8</f>
        <v>0</v>
      </c>
      <c r="J8" s="284"/>
      <c r="K8" s="284"/>
      <c r="L8" s="242">
        <f>K8/C8</f>
        <v>0</v>
      </c>
      <c r="M8" s="286"/>
    </row>
    <row r="9" spans="1:13" ht="53.25" customHeight="1" x14ac:dyDescent="0.25">
      <c r="A9" s="208">
        <v>2</v>
      </c>
      <c r="B9" s="240" t="s">
        <v>265</v>
      </c>
      <c r="C9" s="255">
        <f>300+13</f>
        <v>313</v>
      </c>
      <c r="D9" s="209">
        <f>1+81+55+27</f>
        <v>164</v>
      </c>
      <c r="E9" s="209">
        <v>1</v>
      </c>
      <c r="F9" s="284">
        <f t="shared" ref="F9:F20" si="0">D9+E9</f>
        <v>165</v>
      </c>
      <c r="G9" s="285">
        <f>F9/C9</f>
        <v>0.52715654952076674</v>
      </c>
      <c r="H9" s="209">
        <f>1+1+1</f>
        <v>3</v>
      </c>
      <c r="I9" s="242">
        <f t="shared" ref="I9:I21" si="1">H9/C9</f>
        <v>9.5846645367412137E-3</v>
      </c>
      <c r="J9" s="209"/>
      <c r="K9" s="209"/>
      <c r="L9" s="242">
        <f t="shared" ref="L9:L21" si="2">K9/C9</f>
        <v>0</v>
      </c>
      <c r="M9" s="286" t="s">
        <v>331</v>
      </c>
    </row>
    <row r="10" spans="1:13" ht="54" customHeight="1" x14ac:dyDescent="0.25">
      <c r="A10" s="208">
        <v>3</v>
      </c>
      <c r="B10" s="208" t="s">
        <v>266</v>
      </c>
      <c r="C10" s="255">
        <f>284+12</f>
        <v>296</v>
      </c>
      <c r="D10" s="209">
        <f>15+1</f>
        <v>16</v>
      </c>
      <c r="E10" s="209"/>
      <c r="F10" s="284">
        <f t="shared" si="0"/>
        <v>16</v>
      </c>
      <c r="G10" s="285">
        <f t="shared" ref="G10:G21" si="3">F10/C10</f>
        <v>5.4054054054054057E-2</v>
      </c>
      <c r="H10" s="209"/>
      <c r="I10" s="242">
        <f t="shared" si="1"/>
        <v>0</v>
      </c>
      <c r="J10" s="209"/>
      <c r="K10" s="209">
        <v>34</v>
      </c>
      <c r="L10" s="242">
        <f t="shared" si="2"/>
        <v>0.11486486486486487</v>
      </c>
      <c r="M10" s="286" t="s">
        <v>273</v>
      </c>
    </row>
    <row r="11" spans="1:13" ht="69" customHeight="1" x14ac:dyDescent="0.25">
      <c r="A11" s="208">
        <v>4</v>
      </c>
      <c r="B11" s="240" t="s">
        <v>267</v>
      </c>
      <c r="C11" s="255">
        <f>157+11</f>
        <v>168</v>
      </c>
      <c r="D11" s="209">
        <f>6+76+4+2+46</f>
        <v>134</v>
      </c>
      <c r="E11" s="209"/>
      <c r="F11" s="284">
        <f t="shared" si="0"/>
        <v>134</v>
      </c>
      <c r="G11" s="285">
        <f t="shared" si="3"/>
        <v>0.79761904761904767</v>
      </c>
      <c r="H11" s="209"/>
      <c r="I11" s="242">
        <f t="shared" si="1"/>
        <v>0</v>
      </c>
      <c r="J11" s="209"/>
      <c r="K11" s="209"/>
      <c r="L11" s="242">
        <f t="shared" si="2"/>
        <v>0</v>
      </c>
      <c r="M11" s="286" t="s">
        <v>335</v>
      </c>
    </row>
    <row r="12" spans="1:13" s="257" customFormat="1" ht="39" customHeight="1" x14ac:dyDescent="0.25">
      <c r="A12" s="240">
        <v>5</v>
      </c>
      <c r="B12" s="240" t="s">
        <v>268</v>
      </c>
      <c r="C12" s="255">
        <f>214+3</f>
        <v>217</v>
      </c>
      <c r="D12" s="255">
        <f>116+5+33</f>
        <v>154</v>
      </c>
      <c r="E12" s="255">
        <f>3+7+2+1+2</f>
        <v>15</v>
      </c>
      <c r="F12" s="282">
        <f t="shared" si="0"/>
        <v>169</v>
      </c>
      <c r="G12" s="287">
        <f t="shared" si="3"/>
        <v>0.77880184331797231</v>
      </c>
      <c r="H12" s="255"/>
      <c r="I12" s="256">
        <f t="shared" si="1"/>
        <v>0</v>
      </c>
      <c r="J12" s="255"/>
      <c r="K12" s="255"/>
      <c r="L12" s="256">
        <f t="shared" si="2"/>
        <v>0</v>
      </c>
      <c r="M12" s="288" t="s">
        <v>305</v>
      </c>
    </row>
    <row r="13" spans="1:13" x14ac:dyDescent="0.25">
      <c r="A13" s="208">
        <v>6</v>
      </c>
      <c r="B13" s="240" t="s">
        <v>252</v>
      </c>
      <c r="C13" s="255">
        <v>86</v>
      </c>
      <c r="D13" s="209">
        <f>1+15+23+4</f>
        <v>43</v>
      </c>
      <c r="E13" s="209">
        <f>11+2</f>
        <v>13</v>
      </c>
      <c r="F13" s="284">
        <f t="shared" si="0"/>
        <v>56</v>
      </c>
      <c r="G13" s="285">
        <f t="shared" si="3"/>
        <v>0.65116279069767447</v>
      </c>
      <c r="H13" s="209"/>
      <c r="I13" s="242">
        <f t="shared" si="1"/>
        <v>0</v>
      </c>
      <c r="J13" s="209"/>
      <c r="K13" s="209"/>
      <c r="L13" s="242">
        <f t="shared" si="2"/>
        <v>0</v>
      </c>
      <c r="M13" s="286" t="s">
        <v>292</v>
      </c>
    </row>
    <row r="14" spans="1:13" s="257" customFormat="1" x14ac:dyDescent="0.25">
      <c r="A14" s="240">
        <v>7</v>
      </c>
      <c r="B14" s="240" t="s">
        <v>253</v>
      </c>
      <c r="C14" s="255">
        <v>57</v>
      </c>
      <c r="D14" s="255"/>
      <c r="E14" s="255"/>
      <c r="F14" s="282">
        <f t="shared" si="0"/>
        <v>0</v>
      </c>
      <c r="G14" s="287">
        <f t="shared" si="3"/>
        <v>0</v>
      </c>
      <c r="H14" s="255">
        <f>57</f>
        <v>57</v>
      </c>
      <c r="I14" s="256">
        <f t="shared" si="1"/>
        <v>1</v>
      </c>
      <c r="J14" s="255"/>
      <c r="K14" s="255"/>
      <c r="L14" s="256">
        <f t="shared" si="2"/>
        <v>0</v>
      </c>
      <c r="M14" s="288" t="s">
        <v>306</v>
      </c>
    </row>
    <row r="15" spans="1:13" x14ac:dyDescent="0.25">
      <c r="A15" s="208">
        <v>8</v>
      </c>
      <c r="B15" s="208" t="s">
        <v>254</v>
      </c>
      <c r="C15" s="255">
        <v>3</v>
      </c>
      <c r="D15" s="209"/>
      <c r="E15" s="209"/>
      <c r="F15" s="284">
        <f t="shared" si="0"/>
        <v>0</v>
      </c>
      <c r="G15" s="285">
        <f t="shared" si="3"/>
        <v>0</v>
      </c>
      <c r="H15" s="209"/>
      <c r="I15" s="242">
        <f t="shared" si="1"/>
        <v>0</v>
      </c>
      <c r="J15" s="209"/>
      <c r="K15" s="209"/>
      <c r="L15" s="242">
        <f t="shared" si="2"/>
        <v>0</v>
      </c>
      <c r="M15" s="286"/>
    </row>
    <row r="16" spans="1:13" x14ac:dyDescent="0.25">
      <c r="A16" s="208">
        <v>9</v>
      </c>
      <c r="B16" s="208" t="s">
        <v>255</v>
      </c>
      <c r="C16" s="255">
        <v>4</v>
      </c>
      <c r="D16" s="209"/>
      <c r="E16" s="209"/>
      <c r="F16" s="284">
        <f t="shared" si="0"/>
        <v>0</v>
      </c>
      <c r="G16" s="285">
        <f t="shared" si="3"/>
        <v>0</v>
      </c>
      <c r="H16" s="209"/>
      <c r="I16" s="242">
        <f t="shared" si="1"/>
        <v>0</v>
      </c>
      <c r="J16" s="209"/>
      <c r="K16" s="209"/>
      <c r="L16" s="242">
        <f t="shared" si="2"/>
        <v>0</v>
      </c>
      <c r="M16" s="286"/>
    </row>
    <row r="17" spans="1:13" x14ac:dyDescent="0.25">
      <c r="A17" s="208">
        <v>10</v>
      </c>
      <c r="B17" s="208" t="s">
        <v>256</v>
      </c>
      <c r="C17" s="255">
        <v>3</v>
      </c>
      <c r="D17" s="209"/>
      <c r="E17" s="209">
        <v>2</v>
      </c>
      <c r="F17" s="284">
        <f t="shared" si="0"/>
        <v>2</v>
      </c>
      <c r="G17" s="285">
        <f t="shared" si="3"/>
        <v>0.66666666666666663</v>
      </c>
      <c r="H17" s="209"/>
      <c r="I17" s="242">
        <f t="shared" si="1"/>
        <v>0</v>
      </c>
      <c r="J17" s="209"/>
      <c r="K17" s="209"/>
      <c r="L17" s="242">
        <f t="shared" si="2"/>
        <v>0</v>
      </c>
      <c r="M17" s="286"/>
    </row>
    <row r="18" spans="1:13" x14ac:dyDescent="0.25">
      <c r="A18" s="208">
        <v>11</v>
      </c>
      <c r="B18" s="208" t="s">
        <v>257</v>
      </c>
      <c r="C18" s="255">
        <v>13</v>
      </c>
      <c r="D18" s="251">
        <v>1</v>
      </c>
      <c r="E18" s="251">
        <f>10+1</f>
        <v>11</v>
      </c>
      <c r="F18" s="289">
        <f t="shared" si="0"/>
        <v>12</v>
      </c>
      <c r="G18" s="290">
        <f>F18/C18</f>
        <v>0.92307692307692313</v>
      </c>
      <c r="H18" s="209"/>
      <c r="I18" s="242">
        <f t="shared" si="1"/>
        <v>0</v>
      </c>
      <c r="J18" s="209"/>
      <c r="K18" s="209"/>
      <c r="L18" s="242">
        <f t="shared" si="2"/>
        <v>0</v>
      </c>
      <c r="M18" s="286" t="s">
        <v>242</v>
      </c>
    </row>
    <row r="19" spans="1:13" x14ac:dyDescent="0.25">
      <c r="A19" s="208">
        <v>12</v>
      </c>
      <c r="B19" s="208" t="s">
        <v>258</v>
      </c>
      <c r="C19" s="255">
        <v>3</v>
      </c>
      <c r="D19" s="209"/>
      <c r="E19" s="209"/>
      <c r="F19" s="284">
        <f t="shared" si="0"/>
        <v>0</v>
      </c>
      <c r="G19" s="285">
        <f t="shared" si="3"/>
        <v>0</v>
      </c>
      <c r="H19" s="209"/>
      <c r="I19" s="242">
        <f t="shared" si="1"/>
        <v>0</v>
      </c>
      <c r="J19" s="209"/>
      <c r="K19" s="209"/>
      <c r="L19" s="242">
        <f t="shared" si="2"/>
        <v>0</v>
      </c>
      <c r="M19" s="286"/>
    </row>
    <row r="20" spans="1:13" x14ac:dyDescent="0.25">
      <c r="A20" s="208">
        <v>13</v>
      </c>
      <c r="B20" s="208" t="s">
        <v>226</v>
      </c>
      <c r="C20" s="255">
        <f>9+1</f>
        <v>10</v>
      </c>
      <c r="D20" s="209">
        <v>1</v>
      </c>
      <c r="E20" s="209">
        <v>1</v>
      </c>
      <c r="F20" s="284">
        <f t="shared" si="0"/>
        <v>2</v>
      </c>
      <c r="G20" s="285">
        <f t="shared" si="3"/>
        <v>0.2</v>
      </c>
      <c r="H20" s="209"/>
      <c r="I20" s="242">
        <f t="shared" si="1"/>
        <v>0</v>
      </c>
      <c r="J20" s="209"/>
      <c r="K20" s="209"/>
      <c r="L20" s="242">
        <f t="shared" si="2"/>
        <v>0</v>
      </c>
      <c r="M20" s="286" t="s">
        <v>318</v>
      </c>
    </row>
    <row r="21" spans="1:13" x14ac:dyDescent="0.25">
      <c r="A21" s="210"/>
      <c r="B21" s="210" t="s">
        <v>259</v>
      </c>
      <c r="C21" s="210">
        <f>SUM(C8:C20)</f>
        <v>1357</v>
      </c>
      <c r="D21" s="210">
        <f>SUM(D8:D20)</f>
        <v>513</v>
      </c>
      <c r="E21" s="210">
        <f>SUM(E8:E20)</f>
        <v>43</v>
      </c>
      <c r="F21" s="210">
        <f>D21+E21</f>
        <v>556</v>
      </c>
      <c r="G21" s="211">
        <f t="shared" si="3"/>
        <v>0.4097273397199705</v>
      </c>
      <c r="H21" s="243">
        <f>SUM(H8:H20)</f>
        <v>60</v>
      </c>
      <c r="I21" s="244">
        <f t="shared" si="1"/>
        <v>4.4215180545320559E-2</v>
      </c>
      <c r="J21" s="243">
        <f>SUM(J8:J20)</f>
        <v>0</v>
      </c>
      <c r="K21" s="243">
        <f>SUM(K8:K20)</f>
        <v>34</v>
      </c>
      <c r="L21" s="211">
        <f t="shared" si="2"/>
        <v>2.5055268975681652E-2</v>
      </c>
    </row>
    <row r="22" spans="1:13" x14ac:dyDescent="0.25">
      <c r="K22" s="212">
        <f>F21+H21+K21</f>
        <v>650</v>
      </c>
      <c r="L22" s="221">
        <f>K22/C21</f>
        <v>0.47899778924097275</v>
      </c>
      <c r="M22" s="238"/>
    </row>
    <row r="23" spans="1:13" x14ac:dyDescent="0.25">
      <c r="K23" s="212">
        <f>K22-E21</f>
        <v>607</v>
      </c>
      <c r="M23" s="239"/>
    </row>
    <row r="24" spans="1:13" ht="24" customHeight="1" x14ac:dyDescent="0.25">
      <c r="B24" s="220" t="s">
        <v>270</v>
      </c>
      <c r="C24" s="365" t="s">
        <v>269</v>
      </c>
      <c r="D24" s="365"/>
      <c r="E24" s="365"/>
    </row>
    <row r="25" spans="1:13" ht="27" customHeight="1" x14ac:dyDescent="0.25">
      <c r="B25" s="220" t="s">
        <v>271</v>
      </c>
      <c r="C25" s="365" t="s">
        <v>298</v>
      </c>
      <c r="D25" s="365"/>
      <c r="E25" s="365"/>
    </row>
  </sheetData>
  <mergeCells count="12">
    <mergeCell ref="C24:E24"/>
    <mergeCell ref="C25:E25"/>
    <mergeCell ref="A2:L2"/>
    <mergeCell ref="A4:A7"/>
    <mergeCell ref="B4:B7"/>
    <mergeCell ref="D4:G5"/>
    <mergeCell ref="J4:L4"/>
    <mergeCell ref="J5:J7"/>
    <mergeCell ref="C4:C6"/>
    <mergeCell ref="G6:G7"/>
    <mergeCell ref="H4:I6"/>
    <mergeCell ref="K5:L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zoomScale="82" zoomScaleNormal="82" zoomScaleSheetLayoutView="91" workbookViewId="0">
      <pane xSplit="1" topLeftCell="B1" activePane="topRight" state="frozen"/>
      <selection activeCell="A5" sqref="A5"/>
      <selection pane="topRight" activeCell="B11" sqref="B11"/>
    </sheetView>
  </sheetViews>
  <sheetFormatPr defaultColWidth="9.140625" defaultRowHeight="15.75" x14ac:dyDescent="0.25"/>
  <cols>
    <col min="1" max="1" width="6.42578125" style="30" customWidth="1"/>
    <col min="2" max="2" width="19.85546875" style="30" customWidth="1"/>
    <col min="3" max="3" width="16.140625" style="30" customWidth="1"/>
    <col min="4" max="4" width="11.5703125" style="30" customWidth="1"/>
    <col min="5" max="5" width="14.5703125" style="30" customWidth="1"/>
    <col min="6" max="7" width="13.28515625" style="30" customWidth="1"/>
    <col min="8" max="8" width="12.85546875" style="129" customWidth="1"/>
    <col min="9" max="9" width="14.140625" style="129" bestFit="1" customWidth="1"/>
    <col min="10" max="16384" width="9.140625" style="28"/>
  </cols>
  <sheetData>
    <row r="1" spans="1:9" ht="31.5" customHeight="1" x14ac:dyDescent="0.25">
      <c r="A1" s="381" t="s">
        <v>233</v>
      </c>
      <c r="B1" s="381"/>
      <c r="C1" s="381"/>
      <c r="D1" s="381"/>
      <c r="E1" s="381"/>
      <c r="F1" s="381"/>
      <c r="G1" s="381"/>
    </row>
    <row r="4" spans="1:9" ht="96.75" customHeight="1" x14ac:dyDescent="0.25">
      <c r="A4" s="382" t="s">
        <v>11</v>
      </c>
      <c r="B4" s="382" t="s">
        <v>38</v>
      </c>
      <c r="C4" s="382" t="s">
        <v>104</v>
      </c>
      <c r="D4" s="384" t="s">
        <v>105</v>
      </c>
      <c r="E4" s="385"/>
      <c r="F4" s="384" t="s">
        <v>106</v>
      </c>
      <c r="G4" s="385"/>
      <c r="H4" s="384" t="s">
        <v>217</v>
      </c>
      <c r="I4" s="385"/>
    </row>
    <row r="5" spans="1:9" x14ac:dyDescent="0.25">
      <c r="A5" s="383"/>
      <c r="B5" s="383"/>
      <c r="C5" s="383"/>
      <c r="D5" s="29" t="s">
        <v>107</v>
      </c>
      <c r="E5" s="29" t="s">
        <v>108</v>
      </c>
      <c r="F5" s="29" t="s">
        <v>107</v>
      </c>
      <c r="G5" s="29" t="s">
        <v>108</v>
      </c>
      <c r="H5" s="29" t="s">
        <v>107</v>
      </c>
      <c r="I5" s="29" t="s">
        <v>108</v>
      </c>
    </row>
    <row r="6" spans="1:9" s="33" customFormat="1" x14ac:dyDescent="0.25">
      <c r="A6" s="386">
        <v>1</v>
      </c>
      <c r="B6" s="31" t="s">
        <v>65</v>
      </c>
      <c r="C6" s="395" t="e">
        <f>(#REF!-#REF!+1)+(#REF!-#REF!+1)</f>
        <v>#REF!</v>
      </c>
      <c r="D6" s="31">
        <f>1+46+45</f>
        <v>92</v>
      </c>
      <c r="E6" s="32" t="e">
        <f>(D6)/C6</f>
        <v>#REF!</v>
      </c>
      <c r="F6" s="31"/>
      <c r="G6" s="32"/>
      <c r="H6" s="31">
        <v>9</v>
      </c>
      <c r="I6" s="130" t="e">
        <f>H6/C6</f>
        <v>#REF!</v>
      </c>
    </row>
    <row r="7" spans="1:9" s="33" customFormat="1" x14ac:dyDescent="0.25">
      <c r="A7" s="387"/>
      <c r="B7" s="217" t="s">
        <v>64</v>
      </c>
      <c r="C7" s="396"/>
      <c r="D7" s="104">
        <f>1+1</f>
        <v>2</v>
      </c>
      <c r="E7" s="34" t="e">
        <f>D7/C6</f>
        <v>#REF!</v>
      </c>
      <c r="F7" s="104"/>
      <c r="G7" s="34"/>
      <c r="H7" s="104"/>
      <c r="I7" s="151"/>
    </row>
    <row r="8" spans="1:9" s="33" customFormat="1" ht="47.25" x14ac:dyDescent="0.25">
      <c r="A8" s="388"/>
      <c r="B8" s="217" t="s">
        <v>94</v>
      </c>
      <c r="C8" s="397"/>
      <c r="D8" s="104">
        <f>7+37+12</f>
        <v>56</v>
      </c>
      <c r="E8" s="34" t="e">
        <f>D8/C6</f>
        <v>#REF!</v>
      </c>
      <c r="F8" s="104"/>
      <c r="G8" s="34"/>
      <c r="H8" s="104">
        <v>15</v>
      </c>
      <c r="I8" s="151"/>
    </row>
    <row r="9" spans="1:9" s="46" customFormat="1" x14ac:dyDescent="0.25">
      <c r="A9" s="72"/>
      <c r="B9" s="44" t="s">
        <v>110</v>
      </c>
      <c r="C9" s="44">
        <f>D9+F9+H9</f>
        <v>174</v>
      </c>
      <c r="D9" s="44">
        <f>SUM(D6:D8)</f>
        <v>150</v>
      </c>
      <c r="E9" s="45" t="e">
        <f>SUM(E6:E8)</f>
        <v>#REF!</v>
      </c>
      <c r="F9" s="44">
        <f>SUM(F6:F7)</f>
        <v>0</v>
      </c>
      <c r="G9" s="45">
        <f>SUM(G6:G7)</f>
        <v>0</v>
      </c>
      <c r="H9" s="44">
        <f>SUM(H6:H8)</f>
        <v>24</v>
      </c>
      <c r="I9" s="152" t="e">
        <f>SUM(I6:I8)</f>
        <v>#REF!</v>
      </c>
    </row>
    <row r="10" spans="1:9" s="40" customFormat="1" ht="31.5" x14ac:dyDescent="0.25">
      <c r="A10" s="390">
        <v>2</v>
      </c>
      <c r="B10" s="215" t="s">
        <v>40</v>
      </c>
      <c r="C10" s="391" t="e">
        <f>(#REF!-#REF!+1)+(#REF!-#REF!+1)</f>
        <v>#REF!</v>
      </c>
      <c r="D10" s="125">
        <f>3+80</f>
        <v>83</v>
      </c>
      <c r="E10" s="39" t="e">
        <f>D10/C10</f>
        <v>#REF!</v>
      </c>
      <c r="F10" s="125">
        <v>22</v>
      </c>
      <c r="G10" s="39" t="e">
        <f>F10/C10</f>
        <v>#REF!</v>
      </c>
      <c r="H10" s="125">
        <v>14</v>
      </c>
      <c r="I10" s="135" t="e">
        <f>H10/C10</f>
        <v>#REF!</v>
      </c>
    </row>
    <row r="11" spans="1:9" s="40" customFormat="1" x14ac:dyDescent="0.25">
      <c r="A11" s="390"/>
      <c r="B11" s="215" t="s">
        <v>41</v>
      </c>
      <c r="C11" s="392"/>
      <c r="D11" s="125">
        <v>67</v>
      </c>
      <c r="E11" s="39" t="e">
        <f>D11/C10</f>
        <v>#REF!</v>
      </c>
      <c r="F11" s="125">
        <v>3</v>
      </c>
      <c r="G11" s="39">
        <f>F11/D11</f>
        <v>4.4776119402985072E-2</v>
      </c>
      <c r="H11" s="125">
        <v>3</v>
      </c>
      <c r="I11" s="135" t="e">
        <f>H11/C10</f>
        <v>#REF!</v>
      </c>
    </row>
    <row r="12" spans="1:9" s="50" customFormat="1" x14ac:dyDescent="0.25">
      <c r="A12" s="73"/>
      <c r="B12" s="48" t="s">
        <v>110</v>
      </c>
      <c r="C12" s="48">
        <f>D12+H12</f>
        <v>167</v>
      </c>
      <c r="D12" s="48">
        <f>SUM(D10:D11)</f>
        <v>150</v>
      </c>
      <c r="E12" s="49" t="e">
        <f>SUM(E10:E11)</f>
        <v>#REF!</v>
      </c>
      <c r="F12" s="48">
        <f>SUM(F10:F11)</f>
        <v>25</v>
      </c>
      <c r="G12" s="49" t="e">
        <f t="shared" ref="G12" si="0">SUM(G10:G11)</f>
        <v>#REF!</v>
      </c>
      <c r="H12" s="48">
        <f>SUM(H10:H11)</f>
        <v>17</v>
      </c>
      <c r="I12" s="153" t="e">
        <f>SUM(I10:I11)</f>
        <v>#REF!</v>
      </c>
    </row>
    <row r="13" spans="1:9" s="36" customFormat="1" x14ac:dyDescent="0.25">
      <c r="A13" s="393">
        <v>3</v>
      </c>
      <c r="B13" s="216" t="s">
        <v>62</v>
      </c>
      <c r="C13" s="394" t="e">
        <f>(#REF!-#REF!+1)+(#REF!-#REF!+1)</f>
        <v>#REF!</v>
      </c>
      <c r="D13" s="126">
        <f>7+3</f>
        <v>10</v>
      </c>
      <c r="E13" s="35" t="e">
        <f>D13/C13</f>
        <v>#REF!</v>
      </c>
      <c r="F13" s="126">
        <v>5</v>
      </c>
      <c r="G13" s="35"/>
      <c r="H13" s="126">
        <v>1</v>
      </c>
      <c r="I13" s="145" t="e">
        <f>H13/C13</f>
        <v>#REF!</v>
      </c>
    </row>
    <row r="14" spans="1:9" s="36" customFormat="1" x14ac:dyDescent="0.25">
      <c r="A14" s="393"/>
      <c r="B14" s="216" t="s">
        <v>86</v>
      </c>
      <c r="C14" s="394"/>
      <c r="D14" s="126">
        <f>2+5+5</f>
        <v>12</v>
      </c>
      <c r="E14" s="35" t="e">
        <f>D14/C13</f>
        <v>#REF!</v>
      </c>
      <c r="F14" s="126"/>
      <c r="G14" s="35"/>
      <c r="H14" s="126"/>
      <c r="I14" s="145"/>
    </row>
    <row r="15" spans="1:9" s="36" customFormat="1" x14ac:dyDescent="0.25">
      <c r="A15" s="393"/>
      <c r="B15" s="216" t="s">
        <v>95</v>
      </c>
      <c r="C15" s="394"/>
      <c r="D15" s="126">
        <f>6+1</f>
        <v>7</v>
      </c>
      <c r="E15" s="35" t="e">
        <f>D15/C13</f>
        <v>#REF!</v>
      </c>
      <c r="F15" s="126"/>
      <c r="G15" s="35"/>
      <c r="H15" s="126">
        <v>6</v>
      </c>
      <c r="I15" s="145" t="e">
        <f>H15/C13</f>
        <v>#REF!</v>
      </c>
    </row>
    <row r="16" spans="1:9" s="36" customFormat="1" ht="63" x14ac:dyDescent="0.25">
      <c r="A16" s="393"/>
      <c r="B16" s="216" t="s">
        <v>30</v>
      </c>
      <c r="C16" s="394"/>
      <c r="D16" s="126">
        <f>3+75+23+2+3+45+12+3</f>
        <v>166</v>
      </c>
      <c r="E16" s="35" t="e">
        <f>D16/C13</f>
        <v>#REF!</v>
      </c>
      <c r="F16" s="126">
        <v>43</v>
      </c>
      <c r="G16" s="35"/>
      <c r="H16" s="126">
        <v>18</v>
      </c>
      <c r="I16" s="145" t="e">
        <f>H16/C13</f>
        <v>#REF!</v>
      </c>
    </row>
    <row r="17" spans="1:9" s="53" customFormat="1" x14ac:dyDescent="0.25">
      <c r="A17" s="74"/>
      <c r="B17" s="51" t="s">
        <v>110</v>
      </c>
      <c r="C17" s="51">
        <f>D17+H17</f>
        <v>220</v>
      </c>
      <c r="D17" s="51">
        <f t="shared" ref="D17:I17" si="1">SUM(D13:D16)</f>
        <v>195</v>
      </c>
      <c r="E17" s="52" t="e">
        <f t="shared" si="1"/>
        <v>#REF!</v>
      </c>
      <c r="F17" s="51">
        <f t="shared" si="1"/>
        <v>48</v>
      </c>
      <c r="G17" s="52">
        <f t="shared" si="1"/>
        <v>0</v>
      </c>
      <c r="H17" s="51">
        <f t="shared" si="1"/>
        <v>25</v>
      </c>
      <c r="I17" s="146" t="e">
        <f t="shared" si="1"/>
        <v>#REF!</v>
      </c>
    </row>
    <row r="18" spans="1:9" s="38" customFormat="1" ht="63" x14ac:dyDescent="0.25">
      <c r="A18" s="398">
        <v>4</v>
      </c>
      <c r="B18" s="218" t="s">
        <v>87</v>
      </c>
      <c r="C18" s="399" t="e">
        <f>(#REF!-#REF!+1)+(#REF!-#REF!+1)</f>
        <v>#REF!</v>
      </c>
      <c r="D18" s="127">
        <f>71+1+32+11</f>
        <v>115</v>
      </c>
      <c r="E18" s="37" t="e">
        <f>D18/C18</f>
        <v>#REF!</v>
      </c>
      <c r="F18" s="127"/>
      <c r="G18" s="37"/>
      <c r="H18" s="127">
        <v>4</v>
      </c>
      <c r="I18" s="134" t="e">
        <f>H18/C18</f>
        <v>#REF!</v>
      </c>
    </row>
    <row r="19" spans="1:9" s="38" customFormat="1" x14ac:dyDescent="0.25">
      <c r="A19" s="398"/>
      <c r="B19" s="218" t="s">
        <v>97</v>
      </c>
      <c r="C19" s="399"/>
      <c r="D19" s="127">
        <f>4+1+1</f>
        <v>6</v>
      </c>
      <c r="E19" s="37" t="e">
        <f>D19/C18</f>
        <v>#REF!</v>
      </c>
      <c r="F19" s="127"/>
      <c r="G19" s="37"/>
      <c r="H19" s="127">
        <v>1</v>
      </c>
      <c r="I19" s="134" t="e">
        <f>H19/C18</f>
        <v>#REF!</v>
      </c>
    </row>
    <row r="20" spans="1:9" s="38" customFormat="1" ht="31.5" x14ac:dyDescent="0.25">
      <c r="A20" s="398"/>
      <c r="B20" s="218" t="s">
        <v>96</v>
      </c>
      <c r="C20" s="399"/>
      <c r="D20" s="127">
        <f>6+1+1+4+3+1</f>
        <v>16</v>
      </c>
      <c r="E20" s="37" t="e">
        <f>D20/C18</f>
        <v>#REF!</v>
      </c>
      <c r="F20" s="127"/>
      <c r="G20" s="37"/>
      <c r="H20" s="127">
        <v>1</v>
      </c>
      <c r="I20" s="134" t="e">
        <f>H20/C18</f>
        <v>#REF!</v>
      </c>
    </row>
    <row r="21" spans="1:9" s="38" customFormat="1" x14ac:dyDescent="0.25">
      <c r="A21" s="398"/>
      <c r="B21" s="218" t="s">
        <v>98</v>
      </c>
      <c r="C21" s="399"/>
      <c r="D21" s="127">
        <f>4+5</f>
        <v>9</v>
      </c>
      <c r="E21" s="37" t="e">
        <f>D21/C18</f>
        <v>#REF!</v>
      </c>
      <c r="F21" s="127"/>
      <c r="G21" s="37"/>
      <c r="H21" s="127">
        <v>1</v>
      </c>
      <c r="I21" s="134"/>
    </row>
    <row r="22" spans="1:9" s="141" customFormat="1" x14ac:dyDescent="0.25">
      <c r="A22" s="140"/>
      <c r="B22" s="47" t="s">
        <v>110</v>
      </c>
      <c r="C22" s="47">
        <f>D22+H22</f>
        <v>153</v>
      </c>
      <c r="D22" s="47">
        <f t="shared" ref="D22:I22" si="2">SUM(D18:D21)</f>
        <v>146</v>
      </c>
      <c r="E22" s="56" t="e">
        <f t="shared" si="2"/>
        <v>#REF!</v>
      </c>
      <c r="F22" s="47">
        <f t="shared" si="2"/>
        <v>0</v>
      </c>
      <c r="G22" s="56">
        <f t="shared" si="2"/>
        <v>0</v>
      </c>
      <c r="H22" s="47">
        <f t="shared" si="2"/>
        <v>7</v>
      </c>
      <c r="I22" s="154" t="e">
        <f t="shared" si="2"/>
        <v>#REF!</v>
      </c>
    </row>
    <row r="23" spans="1:9" s="58" customFormat="1" x14ac:dyDescent="0.25">
      <c r="A23" s="400">
        <v>5</v>
      </c>
      <c r="B23" s="219" t="s">
        <v>85</v>
      </c>
      <c r="C23" s="401" t="e">
        <f>(#REF!-#REF!+1)+(#REF!-#REF!+1)</f>
        <v>#REF!</v>
      </c>
      <c r="D23" s="128">
        <f>1+4</f>
        <v>5</v>
      </c>
      <c r="E23" s="57" t="e">
        <f>D23/C23</f>
        <v>#REF!</v>
      </c>
      <c r="F23" s="128">
        <f>1+12</f>
        <v>13</v>
      </c>
      <c r="G23" s="57" t="e">
        <f>F23/C23</f>
        <v>#REF!</v>
      </c>
      <c r="H23" s="128"/>
      <c r="I23" s="136"/>
    </row>
    <row r="24" spans="1:9" s="58" customFormat="1" x14ac:dyDescent="0.25">
      <c r="A24" s="400"/>
      <c r="B24" s="219" t="s">
        <v>91</v>
      </c>
      <c r="C24" s="401"/>
      <c r="D24" s="128">
        <f>1+3+3</f>
        <v>7</v>
      </c>
      <c r="E24" s="57" t="e">
        <f>D24/C23</f>
        <v>#REF!</v>
      </c>
      <c r="F24" s="128">
        <v>6</v>
      </c>
      <c r="G24" s="57" t="e">
        <f>F24/C23</f>
        <v>#REF!</v>
      </c>
      <c r="H24" s="128">
        <v>5</v>
      </c>
      <c r="I24" s="136" t="e">
        <f>H24/C23</f>
        <v>#REF!</v>
      </c>
    </row>
    <row r="25" spans="1:9" s="58" customFormat="1" x14ac:dyDescent="0.25">
      <c r="A25" s="400"/>
      <c r="B25" s="219" t="s">
        <v>207</v>
      </c>
      <c r="C25" s="401"/>
      <c r="D25" s="128">
        <v>3</v>
      </c>
      <c r="E25" s="57" t="e">
        <f>D25/C23</f>
        <v>#REF!</v>
      </c>
      <c r="F25" s="128">
        <v>4</v>
      </c>
      <c r="G25" s="57" t="e">
        <f>F25/C23</f>
        <v>#REF!</v>
      </c>
      <c r="H25" s="128"/>
      <c r="I25" s="136"/>
    </row>
    <row r="26" spans="1:9" s="58" customFormat="1" x14ac:dyDescent="0.25">
      <c r="A26" s="400"/>
      <c r="B26" s="219" t="s">
        <v>99</v>
      </c>
      <c r="C26" s="401"/>
      <c r="D26" s="128">
        <f>4+3</f>
        <v>7</v>
      </c>
      <c r="E26" s="57" t="e">
        <f>D26/C23</f>
        <v>#REF!</v>
      </c>
      <c r="F26" s="128">
        <f>17+12</f>
        <v>29</v>
      </c>
      <c r="G26" s="57" t="e">
        <f>F26/C23</f>
        <v>#REF!</v>
      </c>
      <c r="H26" s="128"/>
      <c r="I26" s="136"/>
    </row>
    <row r="27" spans="1:9" s="58" customFormat="1" x14ac:dyDescent="0.25">
      <c r="A27" s="400"/>
      <c r="B27" s="219" t="s">
        <v>225</v>
      </c>
      <c r="C27" s="401"/>
      <c r="D27" s="128"/>
      <c r="E27" s="57"/>
      <c r="F27" s="128"/>
      <c r="G27" s="57"/>
      <c r="H27" s="128">
        <v>1</v>
      </c>
      <c r="I27" s="136" t="e">
        <f>H27/C23</f>
        <v>#REF!</v>
      </c>
    </row>
    <row r="28" spans="1:9" s="58" customFormat="1" x14ac:dyDescent="0.25">
      <c r="A28" s="400"/>
      <c r="B28" s="219" t="s">
        <v>92</v>
      </c>
      <c r="C28" s="401"/>
      <c r="D28" s="128">
        <f>2+1</f>
        <v>3</v>
      </c>
      <c r="E28" s="57" t="e">
        <f>D28/C23</f>
        <v>#REF!</v>
      </c>
      <c r="F28" s="128">
        <f>26+5</f>
        <v>31</v>
      </c>
      <c r="G28" s="57" t="e">
        <f>F28/C23</f>
        <v>#REF!</v>
      </c>
      <c r="H28" s="128">
        <v>9</v>
      </c>
      <c r="I28" s="136" t="e">
        <f>H28/C23</f>
        <v>#REF!</v>
      </c>
    </row>
    <row r="29" spans="1:9" s="139" customFormat="1" x14ac:dyDescent="0.25">
      <c r="A29" s="137"/>
      <c r="B29" s="59" t="s">
        <v>110</v>
      </c>
      <c r="C29" s="59">
        <f>D29+H29</f>
        <v>40</v>
      </c>
      <c r="D29" s="59">
        <f t="shared" ref="D29:I29" si="3">SUM(D23:D28)</f>
        <v>25</v>
      </c>
      <c r="E29" s="60" t="e">
        <f t="shared" si="3"/>
        <v>#REF!</v>
      </c>
      <c r="F29" s="59">
        <f t="shared" si="3"/>
        <v>83</v>
      </c>
      <c r="G29" s="60" t="e">
        <f t="shared" si="3"/>
        <v>#REF!</v>
      </c>
      <c r="H29" s="59">
        <f t="shared" si="3"/>
        <v>15</v>
      </c>
      <c r="I29" s="138" t="e">
        <f t="shared" si="3"/>
        <v>#REF!</v>
      </c>
    </row>
    <row r="30" spans="1:9" s="62" customFormat="1" ht="31.5" x14ac:dyDescent="0.25">
      <c r="A30" s="379">
        <v>6</v>
      </c>
      <c r="B30" s="123" t="s">
        <v>39</v>
      </c>
      <c r="C30" s="380" t="e">
        <f>(#REF!-#REF!+1)</f>
        <v>#REF!</v>
      </c>
      <c r="D30" s="123">
        <v>31</v>
      </c>
      <c r="E30" s="61" t="e">
        <f>D30/C30</f>
        <v>#REF!</v>
      </c>
      <c r="F30" s="123">
        <v>1</v>
      </c>
      <c r="G30" s="61" t="e">
        <f>F30/C30</f>
        <v>#REF!</v>
      </c>
      <c r="H30" s="123">
        <v>10</v>
      </c>
      <c r="I30" s="142" t="e">
        <f>H30/C30</f>
        <v>#REF!</v>
      </c>
    </row>
    <row r="31" spans="1:9" s="62" customFormat="1" ht="31.5" x14ac:dyDescent="0.25">
      <c r="A31" s="379"/>
      <c r="B31" s="123" t="s">
        <v>63</v>
      </c>
      <c r="C31" s="380"/>
      <c r="D31" s="123">
        <f>1+17</f>
        <v>18</v>
      </c>
      <c r="E31" s="61" t="e">
        <f>D31/C30</f>
        <v>#REF!</v>
      </c>
      <c r="F31" s="123">
        <v>4</v>
      </c>
      <c r="G31" s="61">
        <f>F31/D31</f>
        <v>0.22222222222222221</v>
      </c>
      <c r="H31" s="123">
        <v>7</v>
      </c>
      <c r="I31" s="142" t="e">
        <f>H31/C30</f>
        <v>#REF!</v>
      </c>
    </row>
    <row r="32" spans="1:9" s="144" customFormat="1" x14ac:dyDescent="0.25">
      <c r="A32" s="143"/>
      <c r="B32" s="63" t="s">
        <v>110</v>
      </c>
      <c r="C32" s="63">
        <f>D32+H32</f>
        <v>66</v>
      </c>
      <c r="D32" s="63">
        <f t="shared" ref="D32:I32" si="4">SUM(D30:D31)</f>
        <v>49</v>
      </c>
      <c r="E32" s="64" t="e">
        <f t="shared" si="4"/>
        <v>#REF!</v>
      </c>
      <c r="F32" s="63">
        <f t="shared" si="4"/>
        <v>5</v>
      </c>
      <c r="G32" s="64" t="e">
        <f t="shared" si="4"/>
        <v>#REF!</v>
      </c>
      <c r="H32" s="63">
        <f t="shared" si="4"/>
        <v>17</v>
      </c>
      <c r="I32" s="155" t="e">
        <f t="shared" si="4"/>
        <v>#REF!</v>
      </c>
    </row>
    <row r="33" spans="1:9" s="40" customFormat="1" x14ac:dyDescent="0.25">
      <c r="A33" s="124">
        <v>7</v>
      </c>
      <c r="B33" s="125" t="s">
        <v>93</v>
      </c>
      <c r="C33" s="125">
        <v>3</v>
      </c>
      <c r="D33" s="125">
        <v>1</v>
      </c>
      <c r="E33" s="39">
        <f>D33/C33</f>
        <v>0.33333333333333331</v>
      </c>
      <c r="F33" s="125"/>
      <c r="G33" s="39"/>
      <c r="H33" s="125">
        <v>1</v>
      </c>
      <c r="I33" s="135">
        <f>H33/C33</f>
        <v>0.33333333333333331</v>
      </c>
    </row>
    <row r="34" spans="1:9" s="50" customFormat="1" x14ac:dyDescent="0.25">
      <c r="A34" s="73"/>
      <c r="B34" s="48" t="s">
        <v>110</v>
      </c>
      <c r="C34" s="48">
        <f>D34+H34</f>
        <v>2</v>
      </c>
      <c r="D34" s="48">
        <f t="shared" ref="D34:I34" si="5">SUM(D33)</f>
        <v>1</v>
      </c>
      <c r="E34" s="49">
        <f t="shared" si="5"/>
        <v>0.33333333333333331</v>
      </c>
      <c r="F34" s="48">
        <f t="shared" si="5"/>
        <v>0</v>
      </c>
      <c r="G34" s="49">
        <f t="shared" si="5"/>
        <v>0</v>
      </c>
      <c r="H34" s="48">
        <f t="shared" si="5"/>
        <v>1</v>
      </c>
      <c r="I34" s="153">
        <f t="shared" si="5"/>
        <v>0.33333333333333331</v>
      </c>
    </row>
    <row r="35" spans="1:9" s="103" customFormat="1" ht="31.5" x14ac:dyDescent="0.25">
      <c r="A35" s="100">
        <v>8</v>
      </c>
      <c r="B35" s="101" t="s">
        <v>202</v>
      </c>
      <c r="C35" s="101">
        <v>59</v>
      </c>
      <c r="D35" s="101">
        <v>57</v>
      </c>
      <c r="E35" s="102"/>
      <c r="F35" s="101"/>
      <c r="G35" s="102"/>
      <c r="H35" s="132"/>
      <c r="I35" s="133"/>
    </row>
    <row r="36" spans="1:9" s="40" customFormat="1" x14ac:dyDescent="0.25">
      <c r="A36" s="124"/>
      <c r="B36" s="48" t="s">
        <v>110</v>
      </c>
      <c r="C36" s="48">
        <f>D36+H36</f>
        <v>57</v>
      </c>
      <c r="D36" s="48">
        <f>SUM(D35)</f>
        <v>57</v>
      </c>
      <c r="E36" s="49">
        <f>SUM(E35)</f>
        <v>0</v>
      </c>
      <c r="F36" s="48">
        <f>SUM(F35)</f>
        <v>0</v>
      </c>
      <c r="G36" s="49">
        <f>SUM(G35)</f>
        <v>0</v>
      </c>
      <c r="H36" s="125"/>
      <c r="I36" s="131"/>
    </row>
    <row r="37" spans="1:9" s="43" customFormat="1" ht="47.25" x14ac:dyDescent="0.25">
      <c r="A37" s="65">
        <v>8</v>
      </c>
      <c r="B37" s="41" t="s">
        <v>109</v>
      </c>
      <c r="C37" s="41" t="e">
        <f>(#REF!-#REF!+1)</f>
        <v>#REF!</v>
      </c>
      <c r="D37" s="41">
        <v>3</v>
      </c>
      <c r="E37" s="42">
        <v>0</v>
      </c>
      <c r="F37" s="41"/>
      <c r="G37" s="42"/>
      <c r="H37" s="41">
        <f>1+1+2+1</f>
        <v>5</v>
      </c>
      <c r="I37" s="147" t="e">
        <f>H37/C37</f>
        <v>#REF!</v>
      </c>
    </row>
    <row r="38" spans="1:9" s="150" customFormat="1" x14ac:dyDescent="0.25">
      <c r="A38" s="148"/>
      <c r="B38" s="54" t="s">
        <v>110</v>
      </c>
      <c r="C38" s="54">
        <f>D38+H38</f>
        <v>8</v>
      </c>
      <c r="D38" s="54">
        <f t="shared" ref="D38:I38" si="6">SUM(D37)</f>
        <v>3</v>
      </c>
      <c r="E38" s="55">
        <f t="shared" si="6"/>
        <v>0</v>
      </c>
      <c r="F38" s="54">
        <f t="shared" si="6"/>
        <v>0</v>
      </c>
      <c r="G38" s="55">
        <f t="shared" si="6"/>
        <v>0</v>
      </c>
      <c r="H38" s="54">
        <f t="shared" si="6"/>
        <v>5</v>
      </c>
      <c r="I38" s="149" t="e">
        <f t="shared" si="6"/>
        <v>#REF!</v>
      </c>
    </row>
    <row r="39" spans="1:9" s="69" customFormat="1" ht="18.75" x14ac:dyDescent="0.25">
      <c r="A39" s="66"/>
      <c r="B39" s="67" t="s">
        <v>126</v>
      </c>
      <c r="C39" s="196" t="e">
        <f>C6+C10+C13+C18+C23+C30+C33+C37+C35</f>
        <v>#REF!</v>
      </c>
      <c r="D39" s="67">
        <f>D9+D12+D17+D22+D29+D32+D34+D38+D36</f>
        <v>776</v>
      </c>
      <c r="E39" s="68" t="e">
        <f>D39/C39</f>
        <v>#REF!</v>
      </c>
      <c r="F39" s="67">
        <f>F9+F12+F17+F22+F29+F32+F34+F38+F36</f>
        <v>161</v>
      </c>
      <c r="G39" s="68" t="e">
        <f>F39/C39</f>
        <v>#REF!</v>
      </c>
      <c r="H39" s="67">
        <f>H9+H12+H17+H22+H29+H32+H34+H38+H36</f>
        <v>111</v>
      </c>
      <c r="I39" s="156" t="e">
        <f>H39/C39</f>
        <v>#REF!</v>
      </c>
    </row>
    <row r="40" spans="1:9" ht="32.25" customHeight="1" x14ac:dyDescent="0.25">
      <c r="A40" s="376"/>
      <c r="B40" s="376" t="s">
        <v>239</v>
      </c>
      <c r="C40" s="70">
        <f>C9+C12+C17+C22+C29+C32+C34+C38+C36</f>
        <v>887</v>
      </c>
      <c r="D40" s="376">
        <f>D9+D12+D17+D22+D29+D32+D34+D38+D36</f>
        <v>776</v>
      </c>
      <c r="E40" s="389" t="e">
        <f>E39</f>
        <v>#REF!</v>
      </c>
      <c r="F40" s="376">
        <f>F9+F12+F17+F22+F29+F32+F34+F38</f>
        <v>161</v>
      </c>
      <c r="G40" s="389" t="e">
        <f>G39</f>
        <v>#REF!</v>
      </c>
      <c r="H40" s="376">
        <f>H9+H12+H17+H22+H29+H32+H34+H38</f>
        <v>111</v>
      </c>
      <c r="I40" s="377" t="e">
        <f>I39</f>
        <v>#REF!</v>
      </c>
    </row>
    <row r="41" spans="1:9" ht="25.5" customHeight="1" x14ac:dyDescent="0.25">
      <c r="A41" s="366"/>
      <c r="B41" s="366"/>
      <c r="C41" s="71" t="e">
        <f>C40/C39</f>
        <v>#REF!</v>
      </c>
      <c r="D41" s="366"/>
      <c r="E41" s="366"/>
      <c r="F41" s="366"/>
      <c r="G41" s="366"/>
      <c r="H41" s="366"/>
      <c r="I41" s="378"/>
    </row>
    <row r="42" spans="1:9" x14ac:dyDescent="0.25">
      <c r="C42" s="30">
        <f>'Реестр Постановлений 2019'!E42+'Реестр Постановлений 2019'!F42</f>
        <v>979</v>
      </c>
    </row>
  </sheetData>
  <mergeCells count="27">
    <mergeCell ref="C6:C8"/>
    <mergeCell ref="A18:A21"/>
    <mergeCell ref="C18:C21"/>
    <mergeCell ref="A23:A28"/>
    <mergeCell ref="C23:C28"/>
    <mergeCell ref="E40:E41"/>
    <mergeCell ref="F40:F41"/>
    <mergeCell ref="A10:A11"/>
    <mergeCell ref="C10:C11"/>
    <mergeCell ref="A13:A16"/>
    <mergeCell ref="C13:C16"/>
    <mergeCell ref="H40:H41"/>
    <mergeCell ref="I40:I41"/>
    <mergeCell ref="A30:A31"/>
    <mergeCell ref="C30:C31"/>
    <mergeCell ref="A1:G1"/>
    <mergeCell ref="A4:A5"/>
    <mergeCell ref="B4:B5"/>
    <mergeCell ref="C4:C5"/>
    <mergeCell ref="D4:E4"/>
    <mergeCell ref="F4:G4"/>
    <mergeCell ref="A6:A8"/>
    <mergeCell ref="H4:I4"/>
    <mergeCell ref="G40:G41"/>
    <mergeCell ref="B40:B41"/>
    <mergeCell ref="A40:A41"/>
    <mergeCell ref="D40:D41"/>
  </mergeCells>
  <pageMargins left="0.31496062992125984" right="0.31496062992125984" top="0.15748031496062992" bottom="0.15748031496062992" header="0.31496062992125984" footer="0.31496062992125984"/>
  <pageSetup paperSize="9" scale="7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9" zoomScaleNormal="100" workbookViewId="0">
      <selection activeCell="E32" sqref="E32"/>
    </sheetView>
  </sheetViews>
  <sheetFormatPr defaultRowHeight="15" x14ac:dyDescent="0.25"/>
  <cols>
    <col min="1" max="1" width="4.28515625" style="312" customWidth="1"/>
    <col min="2" max="2" width="23.140625" style="312" customWidth="1"/>
    <col min="3" max="3" width="17" style="312" customWidth="1"/>
    <col min="4" max="4" width="16.7109375" style="292" customWidth="1"/>
    <col min="5" max="5" width="13.85546875" style="292" customWidth="1"/>
    <col min="6" max="6" width="12.42578125" style="292" customWidth="1"/>
    <col min="7" max="7" width="14.7109375" style="313" customWidth="1"/>
    <col min="8" max="8" width="16" style="292" customWidth="1"/>
    <col min="9" max="9" width="15.85546875" style="292" customWidth="1"/>
    <col min="10" max="10" width="16.5703125" style="292" customWidth="1"/>
    <col min="11" max="16384" width="9.140625" style="312"/>
  </cols>
  <sheetData>
    <row r="1" spans="1:10" x14ac:dyDescent="0.25">
      <c r="J1" s="292" t="s">
        <v>347</v>
      </c>
    </row>
    <row r="2" spans="1:10" ht="25.5" customHeight="1" x14ac:dyDescent="0.25">
      <c r="A2" s="402" t="s">
        <v>356</v>
      </c>
      <c r="B2" s="402"/>
      <c r="C2" s="402"/>
      <c r="D2" s="402"/>
      <c r="E2" s="402"/>
      <c r="F2" s="402"/>
      <c r="G2" s="402"/>
      <c r="H2" s="402"/>
      <c r="I2" s="402"/>
      <c r="J2" s="402"/>
    </row>
    <row r="3" spans="1:10" ht="9" customHeight="1" x14ac:dyDescent="0.25"/>
    <row r="4" spans="1:10" x14ac:dyDescent="0.25">
      <c r="A4" s="403" t="s">
        <v>11</v>
      </c>
      <c r="B4" s="403" t="s">
        <v>20</v>
      </c>
      <c r="C4" s="403" t="s">
        <v>61</v>
      </c>
      <c r="D4" s="403" t="s">
        <v>348</v>
      </c>
      <c r="E4" s="404" t="s">
        <v>349</v>
      </c>
      <c r="F4" s="404" t="s">
        <v>344</v>
      </c>
      <c r="G4" s="405" t="s">
        <v>358</v>
      </c>
      <c r="H4" s="404" t="s">
        <v>345</v>
      </c>
      <c r="I4" s="404" t="s">
        <v>346</v>
      </c>
      <c r="J4" s="404" t="s">
        <v>38</v>
      </c>
    </row>
    <row r="5" spans="1:10" x14ac:dyDescent="0.25">
      <c r="A5" s="403"/>
      <c r="B5" s="403"/>
      <c r="C5" s="403"/>
      <c r="D5" s="403"/>
      <c r="E5" s="404"/>
      <c r="F5" s="404"/>
      <c r="G5" s="405"/>
      <c r="H5" s="404"/>
      <c r="I5" s="404"/>
      <c r="J5" s="404"/>
    </row>
    <row r="6" spans="1:10" x14ac:dyDescent="0.25">
      <c r="A6" s="403"/>
      <c r="B6" s="403"/>
      <c r="C6" s="403"/>
      <c r="D6" s="403"/>
      <c r="E6" s="404"/>
      <c r="F6" s="404"/>
      <c r="G6" s="405"/>
      <c r="H6" s="404"/>
      <c r="I6" s="404"/>
      <c r="J6" s="404"/>
    </row>
    <row r="7" spans="1:10" ht="55.5" customHeight="1" x14ac:dyDescent="0.25">
      <c r="A7" s="403"/>
      <c r="B7" s="403"/>
      <c r="C7" s="403"/>
      <c r="D7" s="403"/>
      <c r="E7" s="404"/>
      <c r="F7" s="404"/>
      <c r="G7" s="405"/>
      <c r="H7" s="404"/>
      <c r="I7" s="404"/>
      <c r="J7" s="404"/>
    </row>
    <row r="8" spans="1:10" x14ac:dyDescent="0.25">
      <c r="A8" s="293">
        <v>1</v>
      </c>
      <c r="B8" s="293">
        <v>2</v>
      </c>
      <c r="C8" s="293">
        <f>B8+1</f>
        <v>3</v>
      </c>
      <c r="D8" s="293">
        <f t="shared" ref="D8:J8" si="0">C8+1</f>
        <v>4</v>
      </c>
      <c r="E8" s="293">
        <f t="shared" si="0"/>
        <v>5</v>
      </c>
      <c r="F8" s="293">
        <f t="shared" si="0"/>
        <v>6</v>
      </c>
      <c r="G8" s="308">
        <f t="shared" si="0"/>
        <v>7</v>
      </c>
      <c r="H8" s="293">
        <f t="shared" si="0"/>
        <v>8</v>
      </c>
      <c r="I8" s="293">
        <f t="shared" si="0"/>
        <v>9</v>
      </c>
      <c r="J8" s="293">
        <f t="shared" si="0"/>
        <v>10</v>
      </c>
    </row>
    <row r="9" spans="1:10" ht="30" customHeight="1" x14ac:dyDescent="0.25">
      <c r="A9" s="294">
        <v>1</v>
      </c>
      <c r="B9" s="295" t="s">
        <v>69</v>
      </c>
      <c r="C9" s="294" t="s">
        <v>351</v>
      </c>
      <c r="D9" s="294">
        <v>29.55</v>
      </c>
      <c r="E9" s="301">
        <v>30.07</v>
      </c>
      <c r="F9" s="301">
        <v>30.61</v>
      </c>
      <c r="G9" s="302">
        <f t="shared" ref="G9:G17" si="1">E9</f>
        <v>30.07</v>
      </c>
      <c r="H9" s="303">
        <f>E9/D9</f>
        <v>1.0175972927241963</v>
      </c>
      <c r="I9" s="303">
        <f>G9/D9</f>
        <v>1.0175972927241963</v>
      </c>
      <c r="J9" s="294" t="s">
        <v>353</v>
      </c>
    </row>
    <row r="10" spans="1:10" ht="25.5" x14ac:dyDescent="0.25">
      <c r="A10" s="296">
        <v>2</v>
      </c>
      <c r="B10" s="297" t="s">
        <v>79</v>
      </c>
      <c r="C10" s="296" t="s">
        <v>351</v>
      </c>
      <c r="D10" s="307">
        <v>29.4</v>
      </c>
      <c r="E10" s="304">
        <v>30.07</v>
      </c>
      <c r="F10" s="304">
        <v>30.46</v>
      </c>
      <c r="G10" s="305">
        <f t="shared" si="1"/>
        <v>30.07</v>
      </c>
      <c r="H10" s="306">
        <f>E10/D10</f>
        <v>1.0227891156462585</v>
      </c>
      <c r="I10" s="306">
        <f>G10/D10</f>
        <v>1.0227891156462585</v>
      </c>
      <c r="J10" s="296" t="s">
        <v>353</v>
      </c>
    </row>
    <row r="11" spans="1:10" ht="25.5" x14ac:dyDescent="0.25">
      <c r="A11" s="296">
        <v>3</v>
      </c>
      <c r="B11" s="298" t="s">
        <v>73</v>
      </c>
      <c r="C11" s="296" t="s">
        <v>351</v>
      </c>
      <c r="D11" s="299">
        <v>29.51</v>
      </c>
      <c r="E11" s="299">
        <v>30.07</v>
      </c>
      <c r="F11" s="299">
        <v>30.57</v>
      </c>
      <c r="G11" s="314">
        <f t="shared" si="1"/>
        <v>30.07</v>
      </c>
      <c r="H11" s="306">
        <f t="shared" ref="H11:H31" si="2">E11/D11</f>
        <v>1.0189766180955608</v>
      </c>
      <c r="I11" s="306">
        <f t="shared" ref="I11:I31" si="3">G11/D11</f>
        <v>1.0189766180955608</v>
      </c>
      <c r="J11" s="299" t="s">
        <v>353</v>
      </c>
    </row>
    <row r="12" spans="1:10" ht="25.5" x14ac:dyDescent="0.25">
      <c r="A12" s="296">
        <v>4</v>
      </c>
      <c r="B12" s="298" t="s">
        <v>354</v>
      </c>
      <c r="C12" s="296" t="s">
        <v>351</v>
      </c>
      <c r="D12" s="299">
        <v>36.840000000000003</v>
      </c>
      <c r="E12" s="299">
        <v>37.04</v>
      </c>
      <c r="F12" s="299">
        <v>38.17</v>
      </c>
      <c r="G12" s="314">
        <f t="shared" si="1"/>
        <v>37.04</v>
      </c>
      <c r="H12" s="306">
        <f t="shared" si="2"/>
        <v>1.0054288816503798</v>
      </c>
      <c r="I12" s="306">
        <f t="shared" si="3"/>
        <v>1.0054288816503798</v>
      </c>
      <c r="J12" s="299" t="s">
        <v>353</v>
      </c>
    </row>
    <row r="13" spans="1:10" ht="25.5" x14ac:dyDescent="0.25">
      <c r="A13" s="296">
        <v>5</v>
      </c>
      <c r="B13" s="298" t="s">
        <v>355</v>
      </c>
      <c r="C13" s="296" t="s">
        <v>351</v>
      </c>
      <c r="D13" s="299">
        <v>32.700000000000003</v>
      </c>
      <c r="E13" s="299">
        <v>33.68</v>
      </c>
      <c r="F13" s="299">
        <v>33.880000000000003</v>
      </c>
      <c r="G13" s="314">
        <f t="shared" si="1"/>
        <v>33.68</v>
      </c>
      <c r="H13" s="306">
        <f t="shared" si="2"/>
        <v>1.0299694189602446</v>
      </c>
      <c r="I13" s="306">
        <f t="shared" si="3"/>
        <v>1.0299694189602446</v>
      </c>
      <c r="J13" s="299" t="s">
        <v>353</v>
      </c>
    </row>
    <row r="14" spans="1:10" ht="25.5" x14ac:dyDescent="0.25">
      <c r="A14" s="296">
        <v>6</v>
      </c>
      <c r="B14" s="298" t="s">
        <v>48</v>
      </c>
      <c r="C14" s="296" t="s">
        <v>351</v>
      </c>
      <c r="D14" s="299">
        <v>29.64</v>
      </c>
      <c r="E14" s="299">
        <v>30.07</v>
      </c>
      <c r="F14" s="299">
        <v>30.71</v>
      </c>
      <c r="G14" s="314">
        <f t="shared" si="1"/>
        <v>30.07</v>
      </c>
      <c r="H14" s="306">
        <f t="shared" si="2"/>
        <v>1.0145074224021593</v>
      </c>
      <c r="I14" s="306">
        <f t="shared" si="3"/>
        <v>1.0145074224021593</v>
      </c>
      <c r="J14" s="299" t="s">
        <v>353</v>
      </c>
    </row>
    <row r="15" spans="1:10" ht="25.5" x14ac:dyDescent="0.25">
      <c r="A15" s="296">
        <v>7</v>
      </c>
      <c r="B15" s="298" t="s">
        <v>45</v>
      </c>
      <c r="C15" s="296" t="s">
        <v>351</v>
      </c>
      <c r="D15" s="299">
        <v>35.950000000000003</v>
      </c>
      <c r="E15" s="299">
        <v>36.33</v>
      </c>
      <c r="F15" s="299">
        <v>37.24</v>
      </c>
      <c r="G15" s="314">
        <f t="shared" si="1"/>
        <v>36.33</v>
      </c>
      <c r="H15" s="306">
        <f t="shared" si="2"/>
        <v>1.0105702364394993</v>
      </c>
      <c r="I15" s="306">
        <f t="shared" si="3"/>
        <v>1.0105702364394993</v>
      </c>
      <c r="J15" s="299" t="s">
        <v>353</v>
      </c>
    </row>
    <row r="16" spans="1:10" ht="25.5" x14ac:dyDescent="0.25">
      <c r="A16" s="296">
        <v>8</v>
      </c>
      <c r="B16" s="298" t="s">
        <v>46</v>
      </c>
      <c r="C16" s="296" t="s">
        <v>351</v>
      </c>
      <c r="D16" s="299">
        <v>36.15</v>
      </c>
      <c r="E16" s="299">
        <v>36.33</v>
      </c>
      <c r="F16" s="299">
        <v>37.450000000000003</v>
      </c>
      <c r="G16" s="314">
        <f t="shared" si="1"/>
        <v>36.33</v>
      </c>
      <c r="H16" s="306">
        <f t="shared" si="2"/>
        <v>1.0049792531120332</v>
      </c>
      <c r="I16" s="306">
        <f t="shared" si="3"/>
        <v>1.0049792531120332</v>
      </c>
      <c r="J16" s="299" t="s">
        <v>353</v>
      </c>
    </row>
    <row r="17" spans="1:10" ht="25.5" x14ac:dyDescent="0.25">
      <c r="A17" s="296">
        <v>9</v>
      </c>
      <c r="B17" s="298" t="s">
        <v>47</v>
      </c>
      <c r="C17" s="296" t="s">
        <v>351</v>
      </c>
      <c r="D17" s="304">
        <v>32.5</v>
      </c>
      <c r="E17" s="299">
        <v>33.35</v>
      </c>
      <c r="F17" s="299">
        <v>33.67</v>
      </c>
      <c r="G17" s="314">
        <f t="shared" si="1"/>
        <v>33.35</v>
      </c>
      <c r="H17" s="306">
        <f t="shared" si="2"/>
        <v>1.0261538461538462</v>
      </c>
      <c r="I17" s="306">
        <f t="shared" si="3"/>
        <v>1.0261538461538462</v>
      </c>
      <c r="J17" s="299" t="s">
        <v>353</v>
      </c>
    </row>
    <row r="18" spans="1:10" ht="25.5" x14ac:dyDescent="0.25">
      <c r="A18" s="296">
        <v>10</v>
      </c>
      <c r="B18" s="298" t="s">
        <v>66</v>
      </c>
      <c r="C18" s="296" t="s">
        <v>351</v>
      </c>
      <c r="D18" s="299">
        <v>29.27</v>
      </c>
      <c r="E18" s="299">
        <v>30.91</v>
      </c>
      <c r="F18" s="299">
        <v>30.32</v>
      </c>
      <c r="G18" s="314">
        <f>F18</f>
        <v>30.32</v>
      </c>
      <c r="H18" s="306">
        <f t="shared" si="2"/>
        <v>1.0560300649128802</v>
      </c>
      <c r="I18" s="306">
        <f t="shared" si="3"/>
        <v>1.0358729074137343</v>
      </c>
      <c r="J18" s="299" t="s">
        <v>353</v>
      </c>
    </row>
    <row r="19" spans="1:10" ht="25.5" x14ac:dyDescent="0.25">
      <c r="A19" s="296">
        <v>11</v>
      </c>
      <c r="B19" s="298" t="s">
        <v>75</v>
      </c>
      <c r="C19" s="296" t="s">
        <v>351</v>
      </c>
      <c r="D19" s="299">
        <v>29.37</v>
      </c>
      <c r="E19" s="299">
        <v>30.07</v>
      </c>
      <c r="F19" s="299">
        <v>30.43</v>
      </c>
      <c r="G19" s="314">
        <f>E19</f>
        <v>30.07</v>
      </c>
      <c r="H19" s="306">
        <f t="shared" si="2"/>
        <v>1.023833844058563</v>
      </c>
      <c r="I19" s="306">
        <f t="shared" si="3"/>
        <v>1.023833844058563</v>
      </c>
      <c r="J19" s="299" t="s">
        <v>353</v>
      </c>
    </row>
    <row r="20" spans="1:10" ht="25.5" x14ac:dyDescent="0.25">
      <c r="A20" s="296">
        <v>12</v>
      </c>
      <c r="B20" s="298" t="s">
        <v>70</v>
      </c>
      <c r="C20" s="296" t="s">
        <v>351</v>
      </c>
      <c r="D20" s="299">
        <v>28.21</v>
      </c>
      <c r="E20" s="299">
        <v>30.07</v>
      </c>
      <c r="F20" s="299">
        <v>29.23</v>
      </c>
      <c r="G20" s="305">
        <f>D20*1.036</f>
        <v>29.225560000000002</v>
      </c>
      <c r="H20" s="306">
        <f t="shared" si="2"/>
        <v>1.0659340659340659</v>
      </c>
      <c r="I20" s="306">
        <f t="shared" si="3"/>
        <v>1.036</v>
      </c>
      <c r="J20" s="299" t="s">
        <v>353</v>
      </c>
    </row>
    <row r="21" spans="1:10" ht="25.5" x14ac:dyDescent="0.25">
      <c r="A21" s="296">
        <v>13</v>
      </c>
      <c r="B21" s="298" t="s">
        <v>71</v>
      </c>
      <c r="C21" s="296" t="s">
        <v>351</v>
      </c>
      <c r="D21" s="299">
        <v>29.22</v>
      </c>
      <c r="E21" s="299">
        <v>30.07</v>
      </c>
      <c r="F21" s="299">
        <v>30.27</v>
      </c>
      <c r="G21" s="314">
        <f>E21</f>
        <v>30.07</v>
      </c>
      <c r="H21" s="306">
        <f t="shared" si="2"/>
        <v>1.0290896646132786</v>
      </c>
      <c r="I21" s="306">
        <f t="shared" si="3"/>
        <v>1.0290896646132786</v>
      </c>
      <c r="J21" s="299" t="s">
        <v>353</v>
      </c>
    </row>
    <row r="22" spans="1:10" ht="25.5" x14ac:dyDescent="0.25">
      <c r="A22" s="296">
        <v>14</v>
      </c>
      <c r="B22" s="298" t="s">
        <v>67</v>
      </c>
      <c r="C22" s="296" t="s">
        <v>351</v>
      </c>
      <c r="D22" s="299">
        <v>30.28</v>
      </c>
      <c r="E22" s="299">
        <v>30.91</v>
      </c>
      <c r="F22" s="299">
        <v>31.37</v>
      </c>
      <c r="G22" s="314">
        <f>E22</f>
        <v>30.91</v>
      </c>
      <c r="H22" s="306">
        <f t="shared" si="2"/>
        <v>1.0208058124174373</v>
      </c>
      <c r="I22" s="306">
        <f t="shared" si="3"/>
        <v>1.0208058124174373</v>
      </c>
      <c r="J22" s="299" t="s">
        <v>353</v>
      </c>
    </row>
    <row r="23" spans="1:10" ht="24" customHeight="1" x14ac:dyDescent="0.25">
      <c r="A23" s="296">
        <v>15</v>
      </c>
      <c r="B23" s="298" t="s">
        <v>68</v>
      </c>
      <c r="C23" s="318" t="s">
        <v>352</v>
      </c>
      <c r="D23" s="299">
        <v>28.39</v>
      </c>
      <c r="E23" s="299">
        <v>30.91</v>
      </c>
      <c r="F23" s="299">
        <v>30.87</v>
      </c>
      <c r="G23" s="305">
        <f>D23*1.036</f>
        <v>29.412040000000001</v>
      </c>
      <c r="H23" s="306">
        <f t="shared" si="2"/>
        <v>1.0887636491722437</v>
      </c>
      <c r="I23" s="306">
        <f t="shared" si="3"/>
        <v>1.036</v>
      </c>
      <c r="J23" s="299" t="s">
        <v>353</v>
      </c>
    </row>
    <row r="24" spans="1:10" ht="25.5" x14ac:dyDescent="0.25">
      <c r="A24" s="296">
        <v>16</v>
      </c>
      <c r="B24" s="298" t="s">
        <v>80</v>
      </c>
      <c r="C24" s="296" t="s">
        <v>351</v>
      </c>
      <c r="D24" s="299">
        <v>32.28</v>
      </c>
      <c r="E24" s="299">
        <v>33.35</v>
      </c>
      <c r="F24" s="299">
        <v>33.44</v>
      </c>
      <c r="G24" s="314">
        <f>E24</f>
        <v>33.35</v>
      </c>
      <c r="H24" s="306">
        <f t="shared" si="2"/>
        <v>1.0331474597273853</v>
      </c>
      <c r="I24" s="306">
        <f t="shared" si="3"/>
        <v>1.0331474597273853</v>
      </c>
      <c r="J24" s="299" t="s">
        <v>353</v>
      </c>
    </row>
    <row r="25" spans="1:10" ht="38.25" x14ac:dyDescent="0.25">
      <c r="A25" s="296">
        <v>17</v>
      </c>
      <c r="B25" s="298" t="s">
        <v>350</v>
      </c>
      <c r="C25" s="296" t="s">
        <v>351</v>
      </c>
      <c r="D25" s="299">
        <v>29.78</v>
      </c>
      <c r="E25" s="299">
        <v>30.91</v>
      </c>
      <c r="F25" s="299">
        <v>30.85</v>
      </c>
      <c r="G25" s="314">
        <f>F25</f>
        <v>30.85</v>
      </c>
      <c r="H25" s="306">
        <f t="shared" si="2"/>
        <v>1.0379449294828744</v>
      </c>
      <c r="I25" s="306">
        <f t="shared" si="3"/>
        <v>1.0359301544660846</v>
      </c>
      <c r="J25" s="299" t="s">
        <v>357</v>
      </c>
    </row>
    <row r="26" spans="1:10" ht="25.5" x14ac:dyDescent="0.25">
      <c r="A26" s="296">
        <v>18</v>
      </c>
      <c r="B26" s="298" t="s">
        <v>44</v>
      </c>
      <c r="C26" s="296" t="s">
        <v>351</v>
      </c>
      <c r="D26" s="299">
        <v>36.79</v>
      </c>
      <c r="E26" s="299">
        <v>37.61</v>
      </c>
      <c r="F26" s="299">
        <v>38.11</v>
      </c>
      <c r="G26" s="314">
        <f>E26</f>
        <v>37.61</v>
      </c>
      <c r="H26" s="306">
        <f t="shared" si="2"/>
        <v>1.022288665398206</v>
      </c>
      <c r="I26" s="306">
        <f t="shared" si="3"/>
        <v>1.022288665398206</v>
      </c>
      <c r="J26" s="299" t="s">
        <v>353</v>
      </c>
    </row>
    <row r="27" spans="1:10" ht="25.5" x14ac:dyDescent="0.25">
      <c r="A27" s="296">
        <v>19</v>
      </c>
      <c r="B27" s="298" t="s">
        <v>74</v>
      </c>
      <c r="C27" s="296" t="s">
        <v>351</v>
      </c>
      <c r="D27" s="299">
        <v>32.78</v>
      </c>
      <c r="E27" s="299">
        <v>33.68</v>
      </c>
      <c r="F27" s="299">
        <v>33.96</v>
      </c>
      <c r="G27" s="314">
        <f>E27</f>
        <v>33.68</v>
      </c>
      <c r="H27" s="306">
        <f t="shared" si="2"/>
        <v>1.0274557657107992</v>
      </c>
      <c r="I27" s="306">
        <f t="shared" si="3"/>
        <v>1.0274557657107992</v>
      </c>
      <c r="J27" s="299" t="s">
        <v>353</v>
      </c>
    </row>
    <row r="28" spans="1:10" ht="25.5" x14ac:dyDescent="0.25">
      <c r="A28" s="296">
        <v>20</v>
      </c>
      <c r="B28" s="298" t="s">
        <v>212</v>
      </c>
      <c r="C28" s="296" t="s">
        <v>351</v>
      </c>
      <c r="D28" s="299">
        <v>27.69</v>
      </c>
      <c r="E28" s="299">
        <v>29.56</v>
      </c>
      <c r="F28" s="299">
        <v>28.69</v>
      </c>
      <c r="G28" s="305">
        <f>F28</f>
        <v>28.69</v>
      </c>
      <c r="H28" s="306">
        <f t="shared" si="2"/>
        <v>1.0675334055615744</v>
      </c>
      <c r="I28" s="306">
        <f t="shared" si="3"/>
        <v>1.0361141206211628</v>
      </c>
      <c r="J28" s="299" t="s">
        <v>353</v>
      </c>
    </row>
    <row r="29" spans="1:10" ht="25.5" x14ac:dyDescent="0.25">
      <c r="A29" s="296">
        <v>21</v>
      </c>
      <c r="B29" s="298" t="s">
        <v>49</v>
      </c>
      <c r="C29" s="296" t="s">
        <v>351</v>
      </c>
      <c r="D29" s="299">
        <v>29.36</v>
      </c>
      <c r="E29" s="299">
        <v>30.07</v>
      </c>
      <c r="F29" s="299">
        <v>30.42</v>
      </c>
      <c r="G29" s="314">
        <f>E29</f>
        <v>30.07</v>
      </c>
      <c r="H29" s="306">
        <f t="shared" si="2"/>
        <v>1.0241825613079019</v>
      </c>
      <c r="I29" s="306">
        <f t="shared" si="3"/>
        <v>1.0241825613079019</v>
      </c>
      <c r="J29" s="299" t="s">
        <v>353</v>
      </c>
    </row>
    <row r="30" spans="1:10" ht="25.5" x14ac:dyDescent="0.25">
      <c r="A30" s="296">
        <v>22</v>
      </c>
      <c r="B30" s="298" t="s">
        <v>50</v>
      </c>
      <c r="C30" s="296" t="s">
        <v>351</v>
      </c>
      <c r="D30" s="299">
        <v>29.24</v>
      </c>
      <c r="E30" s="299">
        <v>30.07</v>
      </c>
      <c r="F30" s="299">
        <v>30.29</v>
      </c>
      <c r="G30" s="314">
        <f>E30</f>
        <v>30.07</v>
      </c>
      <c r="H30" s="306">
        <f t="shared" si="2"/>
        <v>1.0283857729138168</v>
      </c>
      <c r="I30" s="306">
        <f t="shared" si="3"/>
        <v>1.0283857729138168</v>
      </c>
      <c r="J30" s="299" t="s">
        <v>353</v>
      </c>
    </row>
    <row r="31" spans="1:10" ht="25.5" x14ac:dyDescent="0.25">
      <c r="A31" s="296">
        <v>23</v>
      </c>
      <c r="B31" s="298" t="s">
        <v>210</v>
      </c>
      <c r="C31" s="296" t="s">
        <v>351</v>
      </c>
      <c r="D31" s="299">
        <v>27.65</v>
      </c>
      <c r="E31" s="299">
        <v>29.56</v>
      </c>
      <c r="F31" s="299">
        <v>28.65</v>
      </c>
      <c r="G31" s="314">
        <f>F31</f>
        <v>28.65</v>
      </c>
      <c r="H31" s="306">
        <f t="shared" si="2"/>
        <v>1.0690777576853527</v>
      </c>
      <c r="I31" s="306">
        <f t="shared" si="3"/>
        <v>1.0361663652802893</v>
      </c>
      <c r="J31" s="299" t="s">
        <v>353</v>
      </c>
    </row>
    <row r="32" spans="1:10" ht="25.5" x14ac:dyDescent="0.25">
      <c r="A32" s="296">
        <v>24</v>
      </c>
      <c r="B32" s="309" t="s">
        <v>211</v>
      </c>
      <c r="C32" s="296" t="s">
        <v>351</v>
      </c>
      <c r="D32" s="299">
        <v>27.57</v>
      </c>
      <c r="E32" s="304">
        <v>30.7</v>
      </c>
      <c r="F32" s="299">
        <v>28.56</v>
      </c>
      <c r="G32" s="314">
        <f>F32</f>
        <v>28.56</v>
      </c>
      <c r="H32" s="306">
        <f t="shared" ref="H32:H43" si="4">E32/D32</f>
        <v>1.1135291984040623</v>
      </c>
      <c r="I32" s="306">
        <f t="shared" ref="I32:I43" si="5">G32/D32</f>
        <v>1.0359085963003263</v>
      </c>
      <c r="J32" s="299" t="s">
        <v>353</v>
      </c>
    </row>
    <row r="33" spans="1:10" ht="25.5" x14ac:dyDescent="0.25">
      <c r="A33" s="296">
        <v>25</v>
      </c>
      <c r="B33" s="298" t="s">
        <v>76</v>
      </c>
      <c r="C33" s="296" t="s">
        <v>351</v>
      </c>
      <c r="D33" s="299">
        <v>32.520000000000003</v>
      </c>
      <c r="E33" s="299">
        <v>33.35</v>
      </c>
      <c r="F33" s="299">
        <v>33.69</v>
      </c>
      <c r="G33" s="314">
        <f t="shared" ref="G33:G42" si="6">E33</f>
        <v>33.35</v>
      </c>
      <c r="H33" s="306">
        <f t="shared" si="4"/>
        <v>1.0255227552275523</v>
      </c>
      <c r="I33" s="306">
        <f t="shared" si="5"/>
        <v>1.0255227552275523</v>
      </c>
      <c r="J33" s="299" t="s">
        <v>353</v>
      </c>
    </row>
    <row r="34" spans="1:10" ht="25.5" x14ac:dyDescent="0.25">
      <c r="A34" s="296">
        <v>26</v>
      </c>
      <c r="B34" s="298" t="s">
        <v>77</v>
      </c>
      <c r="C34" s="296" t="s">
        <v>351</v>
      </c>
      <c r="D34" s="299">
        <v>32.46</v>
      </c>
      <c r="E34" s="299">
        <v>33.35</v>
      </c>
      <c r="F34" s="299">
        <v>33.630000000000003</v>
      </c>
      <c r="G34" s="314">
        <f t="shared" si="6"/>
        <v>33.35</v>
      </c>
      <c r="H34" s="306">
        <f t="shared" si="4"/>
        <v>1.0274183610597658</v>
      </c>
      <c r="I34" s="306">
        <f t="shared" si="5"/>
        <v>1.0274183610597658</v>
      </c>
      <c r="J34" s="299" t="s">
        <v>353</v>
      </c>
    </row>
    <row r="35" spans="1:10" ht="25.5" x14ac:dyDescent="0.25">
      <c r="A35" s="296">
        <v>27</v>
      </c>
      <c r="B35" s="298" t="s">
        <v>52</v>
      </c>
      <c r="C35" s="296" t="s">
        <v>351</v>
      </c>
      <c r="D35" s="299">
        <v>36.840000000000003</v>
      </c>
      <c r="E35" s="299">
        <v>37.04</v>
      </c>
      <c r="F35" s="299">
        <v>38.17</v>
      </c>
      <c r="G35" s="314">
        <f t="shared" si="6"/>
        <v>37.04</v>
      </c>
      <c r="H35" s="306">
        <f t="shared" si="4"/>
        <v>1.0054288816503798</v>
      </c>
      <c r="I35" s="306">
        <f t="shared" si="5"/>
        <v>1.0054288816503798</v>
      </c>
      <c r="J35" s="299" t="s">
        <v>353</v>
      </c>
    </row>
    <row r="36" spans="1:10" ht="25.5" x14ac:dyDescent="0.25">
      <c r="A36" s="296">
        <v>28</v>
      </c>
      <c r="B36" s="298" t="s">
        <v>51</v>
      </c>
      <c r="C36" s="296" t="s">
        <v>351</v>
      </c>
      <c r="D36" s="304">
        <v>36.799999999999997</v>
      </c>
      <c r="E36" s="299">
        <v>37.04</v>
      </c>
      <c r="F36" s="299">
        <v>38.119999999999997</v>
      </c>
      <c r="G36" s="314">
        <f t="shared" si="6"/>
        <v>37.04</v>
      </c>
      <c r="H36" s="306">
        <f t="shared" si="4"/>
        <v>1.0065217391304349</v>
      </c>
      <c r="I36" s="306">
        <f t="shared" si="5"/>
        <v>1.0065217391304349</v>
      </c>
      <c r="J36" s="299" t="s">
        <v>353</v>
      </c>
    </row>
    <row r="37" spans="1:10" ht="25.5" x14ac:dyDescent="0.25">
      <c r="A37" s="296">
        <v>29</v>
      </c>
      <c r="B37" s="298" t="s">
        <v>53</v>
      </c>
      <c r="C37" s="296" t="s">
        <v>351</v>
      </c>
      <c r="D37" s="299">
        <v>36.01</v>
      </c>
      <c r="E37" s="299">
        <v>36.33</v>
      </c>
      <c r="F37" s="299">
        <v>37.31</v>
      </c>
      <c r="G37" s="314">
        <f t="shared" si="6"/>
        <v>36.33</v>
      </c>
      <c r="H37" s="306">
        <f t="shared" si="4"/>
        <v>1.0088864204387671</v>
      </c>
      <c r="I37" s="306">
        <f t="shared" si="5"/>
        <v>1.0088864204387671</v>
      </c>
      <c r="J37" s="299" t="s">
        <v>353</v>
      </c>
    </row>
    <row r="38" spans="1:10" ht="25.5" x14ac:dyDescent="0.25">
      <c r="A38" s="296">
        <v>30</v>
      </c>
      <c r="B38" s="298" t="s">
        <v>54</v>
      </c>
      <c r="C38" s="296" t="s">
        <v>351</v>
      </c>
      <c r="D38" s="299">
        <v>35.979999999999997</v>
      </c>
      <c r="E38" s="299">
        <v>36.33</v>
      </c>
      <c r="F38" s="299">
        <v>37.28</v>
      </c>
      <c r="G38" s="314">
        <f t="shared" si="6"/>
        <v>36.33</v>
      </c>
      <c r="H38" s="306">
        <f t="shared" si="4"/>
        <v>1.0097276264591439</v>
      </c>
      <c r="I38" s="306">
        <f t="shared" si="5"/>
        <v>1.0097276264591439</v>
      </c>
      <c r="J38" s="299" t="s">
        <v>353</v>
      </c>
    </row>
    <row r="39" spans="1:10" ht="25.5" x14ac:dyDescent="0.25">
      <c r="A39" s="296">
        <v>31</v>
      </c>
      <c r="B39" s="298" t="s">
        <v>72</v>
      </c>
      <c r="C39" s="296" t="s">
        <v>351</v>
      </c>
      <c r="D39" s="299">
        <v>29.57</v>
      </c>
      <c r="E39" s="299">
        <v>30.07</v>
      </c>
      <c r="F39" s="299">
        <v>30.63</v>
      </c>
      <c r="G39" s="314">
        <f t="shared" si="6"/>
        <v>30.07</v>
      </c>
      <c r="H39" s="306">
        <f t="shared" si="4"/>
        <v>1.0169090294217111</v>
      </c>
      <c r="I39" s="306">
        <f t="shared" si="5"/>
        <v>1.0169090294217111</v>
      </c>
      <c r="J39" s="299" t="s">
        <v>353</v>
      </c>
    </row>
    <row r="40" spans="1:10" ht="25.5" x14ac:dyDescent="0.25">
      <c r="A40" s="296">
        <v>32</v>
      </c>
      <c r="B40" s="298" t="s">
        <v>78</v>
      </c>
      <c r="C40" s="296" t="s">
        <v>351</v>
      </c>
      <c r="D40" s="299">
        <v>35.979999999999997</v>
      </c>
      <c r="E40" s="299">
        <v>36.33</v>
      </c>
      <c r="F40" s="299">
        <v>37.28</v>
      </c>
      <c r="G40" s="314">
        <f t="shared" si="6"/>
        <v>36.33</v>
      </c>
      <c r="H40" s="306">
        <f t="shared" si="4"/>
        <v>1.0097276264591439</v>
      </c>
      <c r="I40" s="306">
        <f t="shared" si="5"/>
        <v>1.0097276264591439</v>
      </c>
      <c r="J40" s="299" t="s">
        <v>353</v>
      </c>
    </row>
    <row r="41" spans="1:10" ht="25.5" x14ac:dyDescent="0.25">
      <c r="A41" s="296">
        <v>33</v>
      </c>
      <c r="B41" s="298" t="s">
        <v>84</v>
      </c>
      <c r="C41" s="296" t="s">
        <v>351</v>
      </c>
      <c r="D41" s="299">
        <v>32.92</v>
      </c>
      <c r="E41" s="299">
        <v>33.68</v>
      </c>
      <c r="F41" s="299">
        <v>34.11</v>
      </c>
      <c r="G41" s="314">
        <f t="shared" si="6"/>
        <v>33.68</v>
      </c>
      <c r="H41" s="306">
        <f t="shared" si="4"/>
        <v>1.023086269744836</v>
      </c>
      <c r="I41" s="306">
        <f t="shared" si="5"/>
        <v>1.023086269744836</v>
      </c>
      <c r="J41" s="299" t="s">
        <v>353</v>
      </c>
    </row>
    <row r="42" spans="1:10" ht="25.5" x14ac:dyDescent="0.25">
      <c r="A42" s="296">
        <v>34</v>
      </c>
      <c r="B42" s="298" t="s">
        <v>81</v>
      </c>
      <c r="C42" s="296" t="s">
        <v>351</v>
      </c>
      <c r="D42" s="299">
        <v>32.409999999999997</v>
      </c>
      <c r="E42" s="299">
        <v>33.35</v>
      </c>
      <c r="F42" s="299">
        <v>33.58</v>
      </c>
      <c r="G42" s="314">
        <f t="shared" si="6"/>
        <v>33.35</v>
      </c>
      <c r="H42" s="306">
        <f t="shared" si="4"/>
        <v>1.0290033940141934</v>
      </c>
      <c r="I42" s="306">
        <f t="shared" si="5"/>
        <v>1.0290033940141934</v>
      </c>
      <c r="J42" s="299" t="s">
        <v>353</v>
      </c>
    </row>
    <row r="43" spans="1:10" ht="25.5" x14ac:dyDescent="0.25">
      <c r="A43" s="296">
        <v>35</v>
      </c>
      <c r="B43" s="298" t="s">
        <v>82</v>
      </c>
      <c r="C43" s="296" t="s">
        <v>351</v>
      </c>
      <c r="D43" s="304">
        <v>31.6</v>
      </c>
      <c r="E43" s="299">
        <v>33.35</v>
      </c>
      <c r="F43" s="299">
        <v>32.74</v>
      </c>
      <c r="G43" s="314">
        <f>F43</f>
        <v>32.74</v>
      </c>
      <c r="H43" s="306">
        <f t="shared" si="4"/>
        <v>1.0553797468354431</v>
      </c>
      <c r="I43" s="306">
        <f t="shared" si="5"/>
        <v>1.0360759493670886</v>
      </c>
      <c r="J43" s="299" t="s">
        <v>353</v>
      </c>
    </row>
    <row r="44" spans="1:10" ht="25.5" x14ac:dyDescent="0.25">
      <c r="A44" s="316">
        <v>36</v>
      </c>
      <c r="B44" s="300" t="s">
        <v>83</v>
      </c>
      <c r="C44" s="310" t="s">
        <v>351</v>
      </c>
      <c r="D44" s="315">
        <v>31.7</v>
      </c>
      <c r="E44" s="316">
        <v>33.35</v>
      </c>
      <c r="F44" s="316">
        <v>32.840000000000003</v>
      </c>
      <c r="G44" s="317">
        <f>F44</f>
        <v>32.840000000000003</v>
      </c>
      <c r="H44" s="311">
        <f t="shared" ref="H44" si="7">E44/D44</f>
        <v>1.05205047318612</v>
      </c>
      <c r="I44" s="311">
        <f t="shared" ref="I44" si="8">G44/D44</f>
        <v>1.0359621451104102</v>
      </c>
      <c r="J44" s="316" t="s">
        <v>353</v>
      </c>
    </row>
  </sheetData>
  <mergeCells count="11">
    <mergeCell ref="A2:J2"/>
    <mergeCell ref="A4:A7"/>
    <mergeCell ref="B4:B7"/>
    <mergeCell ref="E4:E7"/>
    <mergeCell ref="F4:F7"/>
    <mergeCell ref="D4:D7"/>
    <mergeCell ref="G4:G7"/>
    <mergeCell ref="C4:C7"/>
    <mergeCell ref="H4:H7"/>
    <mergeCell ref="I4:I7"/>
    <mergeCell ref="J4:J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Белое озеро(после конкурса)</vt:lpstr>
      <vt:lpstr>Реестр Постановлений 2020</vt:lpstr>
      <vt:lpstr>Реестр Постановлений 2019</vt:lpstr>
      <vt:lpstr>отчет 2020</vt:lpstr>
      <vt:lpstr>старый Реестр с указанием УО</vt:lpstr>
      <vt:lpstr>Лист1</vt:lpstr>
      <vt:lpstr>Лист1!Заголовки_для_печати</vt:lpstr>
      <vt:lpstr>'Белое озеро(после конкурса)'!Область_печати</vt:lpstr>
      <vt:lpstr>Лист1!Область_печати</vt:lpstr>
      <vt:lpstr>'Реестр Постановлений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2021-02-24T07:51:40Z</dcterms:modified>
</cp:coreProperties>
</file>