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КАРАСЕВ\из ДЕЛА\в бюллетень (без приложений) и на сайт\"/>
    </mc:Choice>
  </mc:AlternateContent>
  <bookViews>
    <workbookView xWindow="-420" yWindow="3810" windowWidth="17325" windowHeight="7065"/>
  </bookViews>
  <sheets>
    <sheet name="прил_4" sheetId="18" r:id="rId1"/>
    <sheet name="расчет_показ" sheetId="20" r:id="rId2"/>
  </sheets>
  <externalReferences>
    <externalReference r:id="rId3"/>
  </externalReferences>
  <definedNames>
    <definedName name="_xlnm._FilterDatabase" localSheetId="0" hidden="1">прил_4!$A$21:$U$388</definedName>
    <definedName name="_xlnm.Print_Titles" localSheetId="0">прил_4!$19:$21</definedName>
    <definedName name="_xlnm.Print_Titles" localSheetId="1">расчет_показ!$11:$14</definedName>
    <definedName name="_xlnm.Print_Area" localSheetId="0">прил_4!$A$1:$T$410</definedName>
    <definedName name="_xlnm.Print_Area" localSheetId="1">расчет_показ!$A$1:$M$137</definedName>
  </definedNames>
  <calcPr calcId="152511" fullCalcOnLoad="1"/>
</workbook>
</file>

<file path=xl/calcChain.xml><?xml version="1.0" encoding="utf-8"?>
<calcChain xmlns="http://schemas.openxmlformats.org/spreadsheetml/2006/main">
  <c r="N379" i="18" l="1"/>
  <c r="N376" i="18" s="1"/>
  <c r="N364" i="18"/>
  <c r="N87" i="18"/>
  <c r="N81" i="18" s="1"/>
  <c r="N378" i="18"/>
  <c r="N48" i="18"/>
  <c r="N59" i="18"/>
  <c r="N58" i="18"/>
  <c r="N57" i="18"/>
  <c r="O58" i="18"/>
  <c r="P58" i="18"/>
  <c r="I20" i="20"/>
  <c r="I17" i="20"/>
  <c r="S122" i="18"/>
  <c r="S100" i="18"/>
  <c r="S102" i="18"/>
  <c r="S103" i="18"/>
  <c r="S105" i="18"/>
  <c r="S106" i="18"/>
  <c r="S108" i="18"/>
  <c r="S109" i="18"/>
  <c r="S110" i="18"/>
  <c r="S111" i="18"/>
  <c r="S114" i="18"/>
  <c r="S115" i="18"/>
  <c r="S118" i="18"/>
  <c r="S119" i="18"/>
  <c r="S120" i="18"/>
  <c r="S237" i="18"/>
  <c r="S236" i="18"/>
  <c r="S234" i="18"/>
  <c r="S233" i="18"/>
  <c r="S232" i="18"/>
  <c r="S231" i="18"/>
  <c r="S230" i="18"/>
  <c r="S228" i="18"/>
  <c r="S227" i="18"/>
  <c r="S225" i="18"/>
  <c r="S224" i="18"/>
  <c r="S222" i="18"/>
  <c r="S221" i="18"/>
  <c r="S250" i="18"/>
  <c r="S249" i="18"/>
  <c r="S248" i="18"/>
  <c r="S247" i="18"/>
  <c r="S245" i="18"/>
  <c r="S244" i="18"/>
  <c r="S243" i="18"/>
  <c r="S242" i="18"/>
  <c r="S240" i="18"/>
  <c r="S178" i="18"/>
  <c r="S177" i="18"/>
  <c r="S176" i="18"/>
  <c r="S167" i="18"/>
  <c r="S166" i="18"/>
  <c r="S164" i="18"/>
  <c r="S163" i="18"/>
  <c r="S162" i="18"/>
  <c r="S160" i="18"/>
  <c r="S159" i="18"/>
  <c r="S158" i="18"/>
  <c r="S157" i="18"/>
  <c r="S156" i="18"/>
  <c r="R79" i="18"/>
  <c r="Q79" i="18"/>
  <c r="O79" i="18"/>
  <c r="N79" i="18"/>
  <c r="M79" i="18"/>
  <c r="L79" i="18"/>
  <c r="K79" i="18"/>
  <c r="J79" i="18"/>
  <c r="S79" i="18"/>
  <c r="P79" i="18"/>
  <c r="N238" i="18"/>
  <c r="N185" i="18" s="1"/>
  <c r="N182" i="18" s="1"/>
  <c r="Q81" i="18"/>
  <c r="O81" i="18"/>
  <c r="L81" i="18"/>
  <c r="N80" i="18"/>
  <c r="R185" i="18"/>
  <c r="Q185" i="18"/>
  <c r="P185" i="18"/>
  <c r="O185" i="18"/>
  <c r="K185" i="18"/>
  <c r="O364" i="18"/>
  <c r="O357" i="18" s="1"/>
  <c r="P364" i="18"/>
  <c r="S257" i="18"/>
  <c r="S256" i="18"/>
  <c r="S255" i="18"/>
  <c r="S254" i="18"/>
  <c r="S253" i="18"/>
  <c r="S252" i="18"/>
  <c r="N235" i="18"/>
  <c r="O235" i="18"/>
  <c r="P235" i="18"/>
  <c r="N128" i="18"/>
  <c r="J155" i="18"/>
  <c r="K155" i="18"/>
  <c r="L155" i="18"/>
  <c r="M155" i="18"/>
  <c r="Q155" i="18"/>
  <c r="R155" i="18"/>
  <c r="O155" i="18"/>
  <c r="P155" i="18"/>
  <c r="N155" i="18"/>
  <c r="M165" i="18"/>
  <c r="N165" i="18"/>
  <c r="O165" i="18"/>
  <c r="P165" i="18"/>
  <c r="Q165" i="18"/>
  <c r="R165" i="18"/>
  <c r="L165" i="18"/>
  <c r="O300" i="18"/>
  <c r="P300" i="18"/>
  <c r="Q300" i="18"/>
  <c r="R300" i="18"/>
  <c r="O301" i="18"/>
  <c r="P301" i="18"/>
  <c r="Q301" i="18"/>
  <c r="R301" i="18"/>
  <c r="S301" i="18"/>
  <c r="I112" i="20"/>
  <c r="N301" i="18" s="1"/>
  <c r="I110" i="20"/>
  <c r="I109" i="20"/>
  <c r="N300" i="18" s="1"/>
  <c r="S300" i="18" s="1"/>
  <c r="S28" i="18"/>
  <c r="I47" i="20"/>
  <c r="O51" i="18"/>
  <c r="N51" i="18"/>
  <c r="S308" i="18"/>
  <c r="S306" i="18"/>
  <c r="S304" i="18"/>
  <c r="S303" i="18"/>
  <c r="S302" i="18"/>
  <c r="R299" i="18"/>
  <c r="Q299" i="18"/>
  <c r="P299" i="18"/>
  <c r="O299" i="18"/>
  <c r="M299" i="18"/>
  <c r="L299" i="18"/>
  <c r="K299" i="18"/>
  <c r="J299" i="18"/>
  <c r="R298" i="18"/>
  <c r="Q298" i="18"/>
  <c r="P298" i="18"/>
  <c r="O298" i="18"/>
  <c r="M298" i="18"/>
  <c r="L298" i="18"/>
  <c r="K298" i="18"/>
  <c r="J298" i="18"/>
  <c r="M376" i="18"/>
  <c r="S377" i="18"/>
  <c r="S378" i="18"/>
  <c r="S218" i="18"/>
  <c r="S169" i="18"/>
  <c r="M48" i="18"/>
  <c r="M47" i="18"/>
  <c r="M41" i="18" s="1"/>
  <c r="K373" i="18"/>
  <c r="K369" i="18"/>
  <c r="L373" i="18"/>
  <c r="L369" i="18"/>
  <c r="M373" i="18"/>
  <c r="M369" i="18"/>
  <c r="N373" i="18"/>
  <c r="N369" i="18"/>
  <c r="O373" i="18"/>
  <c r="O369" i="18"/>
  <c r="P373" i="18"/>
  <c r="P369" i="18"/>
  <c r="Q373" i="18"/>
  <c r="Q369" i="18"/>
  <c r="R373" i="18"/>
  <c r="R369" i="18"/>
  <c r="S373" i="18"/>
  <c r="S369" i="18"/>
  <c r="K374" i="18"/>
  <c r="K370" i="18"/>
  <c r="L374" i="18"/>
  <c r="L370" i="18"/>
  <c r="M374" i="18"/>
  <c r="N374" i="18"/>
  <c r="N370" i="18" s="1"/>
  <c r="O374" i="18"/>
  <c r="P374" i="18"/>
  <c r="P370" i="18"/>
  <c r="Q374" i="18"/>
  <c r="Q370" i="18"/>
  <c r="R374" i="18"/>
  <c r="R370" i="18"/>
  <c r="J374" i="18"/>
  <c r="J370" i="18"/>
  <c r="J373" i="18"/>
  <c r="J369" i="18"/>
  <c r="M49" i="18"/>
  <c r="M64" i="18"/>
  <c r="S64" i="18" s="1"/>
  <c r="M199" i="18"/>
  <c r="M185" i="18" s="1"/>
  <c r="M128" i="18"/>
  <c r="M62" i="18"/>
  <c r="O132" i="18"/>
  <c r="O112" i="18"/>
  <c r="S112" i="18"/>
  <c r="S95" i="18"/>
  <c r="S170" i="18"/>
  <c r="M297" i="18"/>
  <c r="M121" i="18"/>
  <c r="S121" i="18" s="1"/>
  <c r="M162" i="18"/>
  <c r="M229" i="18"/>
  <c r="S229" i="18" s="1"/>
  <c r="M261" i="18"/>
  <c r="O217" i="18"/>
  <c r="P217" i="18"/>
  <c r="Q217" i="18"/>
  <c r="R217" i="18"/>
  <c r="K217" i="18"/>
  <c r="L217" i="18"/>
  <c r="M217" i="18"/>
  <c r="N217" i="18"/>
  <c r="K183" i="18"/>
  <c r="K75" i="18" s="1"/>
  <c r="L183" i="18"/>
  <c r="M183" i="18"/>
  <c r="N183" i="18"/>
  <c r="P183" i="18"/>
  <c r="P75" i="18"/>
  <c r="Q183" i="18"/>
  <c r="R183" i="18"/>
  <c r="R75" i="18" s="1"/>
  <c r="J183" i="18"/>
  <c r="L58" i="18"/>
  <c r="Q58" i="18"/>
  <c r="R58" i="18"/>
  <c r="O183" i="18"/>
  <c r="J47" i="18"/>
  <c r="J48" i="18"/>
  <c r="J49" i="18"/>
  <c r="S49" i="18"/>
  <c r="K48" i="18"/>
  <c r="K46" i="18" s="1"/>
  <c r="L46" i="18"/>
  <c r="M356" i="18"/>
  <c r="M334" i="18" s="1"/>
  <c r="N356" i="18"/>
  <c r="N334" i="18"/>
  <c r="N357" i="18"/>
  <c r="O356" i="18"/>
  <c r="M116" i="18"/>
  <c r="S116" i="18" s="1"/>
  <c r="S52" i="18"/>
  <c r="J53" i="18"/>
  <c r="K53" i="18"/>
  <c r="L53" i="18"/>
  <c r="S51" i="18"/>
  <c r="J70" i="18"/>
  <c r="J58" i="18" s="1"/>
  <c r="K70" i="18"/>
  <c r="S70" i="18" s="1"/>
  <c r="K58" i="18"/>
  <c r="S71" i="18"/>
  <c r="S72" i="18"/>
  <c r="S73" i="18"/>
  <c r="S69" i="18"/>
  <c r="S68" i="18"/>
  <c r="J63" i="18"/>
  <c r="J65" i="18"/>
  <c r="K62" i="18"/>
  <c r="L62" i="18"/>
  <c r="N62" i="18"/>
  <c r="O62" i="18"/>
  <c r="O66" i="18" s="1"/>
  <c r="S66" i="18" s="1"/>
  <c r="S341" i="18"/>
  <c r="S358" i="18"/>
  <c r="S359" i="18"/>
  <c r="P314" i="18"/>
  <c r="Q314" i="18"/>
  <c r="Q310" i="18"/>
  <c r="R314" i="18"/>
  <c r="S317" i="18"/>
  <c r="P315" i="18"/>
  <c r="P311" i="18"/>
  <c r="Q315" i="18"/>
  <c r="R315" i="18"/>
  <c r="S318" i="18"/>
  <c r="N315" i="18"/>
  <c r="O315" i="18"/>
  <c r="O311" i="18" s="1"/>
  <c r="M315" i="18"/>
  <c r="N314" i="18"/>
  <c r="O314" i="18"/>
  <c r="M314" i="18"/>
  <c r="H117" i="20" s="1"/>
  <c r="H116" i="20" s="1"/>
  <c r="J150" i="18"/>
  <c r="S150" i="18"/>
  <c r="J138" i="18"/>
  <c r="S138" i="18" s="1"/>
  <c r="S35" i="18"/>
  <c r="S45" i="18"/>
  <c r="S61" i="18"/>
  <c r="I72" i="20"/>
  <c r="S31" i="18"/>
  <c r="S342" i="18"/>
  <c r="R271" i="18"/>
  <c r="S271" i="18" s="1"/>
  <c r="R263" i="18"/>
  <c r="S263" i="18"/>
  <c r="R262" i="18"/>
  <c r="S262" i="18" s="1"/>
  <c r="S187" i="18"/>
  <c r="S34" i="18"/>
  <c r="S32" i="18"/>
  <c r="Q271" i="18"/>
  <c r="Q270" i="18"/>
  <c r="Q263" i="18"/>
  <c r="Q262" i="18"/>
  <c r="P271" i="18"/>
  <c r="P270" i="18"/>
  <c r="P263" i="18"/>
  <c r="P262" i="18"/>
  <c r="J161" i="18"/>
  <c r="S161" i="18"/>
  <c r="J87" i="18"/>
  <c r="J84" i="18" s="1"/>
  <c r="J91" i="18"/>
  <c r="J97" i="18"/>
  <c r="J123" i="18"/>
  <c r="S123" i="18" s="1"/>
  <c r="J127" i="18"/>
  <c r="S127" i="18" s="1"/>
  <c r="J134" i="18"/>
  <c r="J142" i="18"/>
  <c r="J194" i="18"/>
  <c r="J185" i="18" s="1"/>
  <c r="S194" i="18"/>
  <c r="J220" i="18"/>
  <c r="J266" i="18"/>
  <c r="J261" i="18"/>
  <c r="J326" i="18"/>
  <c r="J331" i="18"/>
  <c r="J343" i="18"/>
  <c r="J345" i="18"/>
  <c r="J349" i="18"/>
  <c r="J339" i="18" s="1"/>
  <c r="K42" i="18"/>
  <c r="K87" i="18"/>
  <c r="K91" i="18"/>
  <c r="K101" i="18"/>
  <c r="S101" i="18" s="1"/>
  <c r="K107" i="18"/>
  <c r="S107" i="18" s="1"/>
  <c r="K123" i="18"/>
  <c r="K134" i="18"/>
  <c r="K142" i="18"/>
  <c r="S142" i="18" s="1"/>
  <c r="K144" i="18"/>
  <c r="K266" i="18"/>
  <c r="K261" i="18"/>
  <c r="K316" i="18"/>
  <c r="K312" i="18" s="1"/>
  <c r="K339" i="18"/>
  <c r="K336" i="18"/>
  <c r="L42" i="18"/>
  <c r="L142" i="18"/>
  <c r="L199" i="18"/>
  <c r="L226" i="18"/>
  <c r="S226" i="18" s="1"/>
  <c r="L223" i="18"/>
  <c r="L261" i="18"/>
  <c r="L316" i="18"/>
  <c r="L312" i="18"/>
  <c r="L339" i="18"/>
  <c r="N42" i="18"/>
  <c r="N38" i="18" s="1"/>
  <c r="N261" i="18"/>
  <c r="N260" i="18"/>
  <c r="N316" i="18"/>
  <c r="N312" i="18"/>
  <c r="N339" i="18"/>
  <c r="N336" i="18" s="1"/>
  <c r="O42" i="18"/>
  <c r="O261" i="18"/>
  <c r="O316" i="18"/>
  <c r="O312" i="18" s="1"/>
  <c r="O339" i="18"/>
  <c r="O336" i="18"/>
  <c r="P42" i="18"/>
  <c r="P38" i="18" s="1"/>
  <c r="P144" i="18"/>
  <c r="P81" i="18" s="1"/>
  <c r="P261" i="18"/>
  <c r="P260" i="18" s="1"/>
  <c r="P316" i="18"/>
  <c r="P312" i="18" s="1"/>
  <c r="P339" i="18"/>
  <c r="P336" i="18"/>
  <c r="Q42" i="18"/>
  <c r="Q38" i="18" s="1"/>
  <c r="Q261" i="18"/>
  <c r="Q259" i="18"/>
  <c r="Q316" i="18"/>
  <c r="Q339" i="18"/>
  <c r="Q336" i="18" s="1"/>
  <c r="R144" i="18"/>
  <c r="R81" i="18" s="1"/>
  <c r="R42" i="18"/>
  <c r="R38" i="18" s="1"/>
  <c r="R261" i="18"/>
  <c r="R259" i="18"/>
  <c r="R258" i="18"/>
  <c r="R316" i="18"/>
  <c r="R312" i="18" s="1"/>
  <c r="R339" i="18"/>
  <c r="R336" i="18"/>
  <c r="M42" i="18"/>
  <c r="M144" i="18"/>
  <c r="M316" i="18"/>
  <c r="M312" i="18" s="1"/>
  <c r="M339" i="18"/>
  <c r="M336" i="18" s="1"/>
  <c r="K43" i="18"/>
  <c r="K59" i="18"/>
  <c r="K39" i="18"/>
  <c r="K26" i="18" s="1"/>
  <c r="K375" i="18"/>
  <c r="K371" i="18"/>
  <c r="L43" i="18"/>
  <c r="L39" i="18" s="1"/>
  <c r="L59" i="18"/>
  <c r="L375" i="18"/>
  <c r="L372" i="18"/>
  <c r="M43" i="18"/>
  <c r="M59" i="18"/>
  <c r="M375" i="18"/>
  <c r="M371" i="18"/>
  <c r="N43" i="18"/>
  <c r="N39" i="18" s="1"/>
  <c r="N375" i="18"/>
  <c r="O43" i="18"/>
  <c r="O39" i="18" s="1"/>
  <c r="O59" i="18"/>
  <c r="O375" i="18"/>
  <c r="O371" i="18"/>
  <c r="P43" i="18"/>
  <c r="P39" i="18" s="1"/>
  <c r="P59" i="18"/>
  <c r="P375" i="18"/>
  <c r="P372" i="18" s="1"/>
  <c r="P371" i="18"/>
  <c r="Q43" i="18"/>
  <c r="Q59" i="18"/>
  <c r="Q375" i="18"/>
  <c r="Q371" i="18" s="1"/>
  <c r="R43" i="18"/>
  <c r="R375" i="18"/>
  <c r="R371" i="18"/>
  <c r="J43" i="18"/>
  <c r="J379" i="18"/>
  <c r="J324" i="18"/>
  <c r="S324" i="18" s="1"/>
  <c r="J329" i="18"/>
  <c r="S329" i="18" s="1"/>
  <c r="J356" i="18"/>
  <c r="J334" i="18"/>
  <c r="P41" i="18"/>
  <c r="P57" i="18"/>
  <c r="P56" i="18" s="1"/>
  <c r="Q41" i="18"/>
  <c r="Q57" i="18"/>
  <c r="R41" i="18"/>
  <c r="R57" i="18"/>
  <c r="J57" i="18"/>
  <c r="K41" i="18"/>
  <c r="K57" i="18"/>
  <c r="L41" i="18"/>
  <c r="L57" i="18"/>
  <c r="N41" i="18"/>
  <c r="O41" i="18"/>
  <c r="O40" i="18" s="1"/>
  <c r="O57" i="18"/>
  <c r="J193" i="18"/>
  <c r="J184" i="18"/>
  <c r="J133" i="18"/>
  <c r="J330" i="18"/>
  <c r="J315" i="18" s="1"/>
  <c r="J338" i="18"/>
  <c r="J364" i="18"/>
  <c r="K314" i="18"/>
  <c r="K310" i="18"/>
  <c r="K356" i="18"/>
  <c r="K184" i="18"/>
  <c r="K80" i="18"/>
  <c r="K315" i="18"/>
  <c r="K311" i="18"/>
  <c r="K338" i="18"/>
  <c r="K337" i="18" s="1"/>
  <c r="K364" i="18"/>
  <c r="K362" i="18" s="1"/>
  <c r="K357" i="18"/>
  <c r="L314" i="18"/>
  <c r="L356" i="18"/>
  <c r="L334" i="18"/>
  <c r="L184" i="18"/>
  <c r="L80" i="18"/>
  <c r="L315" i="18"/>
  <c r="L311" i="18"/>
  <c r="L338" i="18"/>
  <c r="L357" i="18"/>
  <c r="M310" i="18"/>
  <c r="M75" i="18"/>
  <c r="M184" i="18"/>
  <c r="M80" i="18"/>
  <c r="M76" i="18"/>
  <c r="M338" i="18"/>
  <c r="N184" i="18"/>
  <c r="N338" i="18"/>
  <c r="O184" i="18"/>
  <c r="O182" i="18" s="1"/>
  <c r="O80" i="18"/>
  <c r="O338" i="18"/>
  <c r="P184" i="18"/>
  <c r="P80" i="18"/>
  <c r="P338" i="18"/>
  <c r="P337" i="18" s="1"/>
  <c r="P357" i="18"/>
  <c r="P355" i="18" s="1"/>
  <c r="P310" i="18"/>
  <c r="P23" i="18" s="1"/>
  <c r="P356" i="18"/>
  <c r="Q184" i="18"/>
  <c r="Q338" i="18"/>
  <c r="Q337" i="18" s="1"/>
  <c r="Q357" i="18"/>
  <c r="Q356" i="18"/>
  <c r="R184" i="18"/>
  <c r="R80" i="18"/>
  <c r="R338" i="18"/>
  <c r="R357" i="18"/>
  <c r="R310" i="18"/>
  <c r="R356" i="18"/>
  <c r="R334" i="18" s="1"/>
  <c r="Q260" i="18"/>
  <c r="P40" i="18"/>
  <c r="S146" i="18"/>
  <c r="K84" i="18"/>
  <c r="L84" i="18"/>
  <c r="M84" i="18"/>
  <c r="O84" i="18"/>
  <c r="P84" i="18"/>
  <c r="Q84" i="18"/>
  <c r="R84" i="18"/>
  <c r="S91" i="18"/>
  <c r="S97" i="18"/>
  <c r="J113" i="18"/>
  <c r="K113" i="18"/>
  <c r="L113" i="18"/>
  <c r="M113" i="18"/>
  <c r="N113" i="18"/>
  <c r="O113" i="18"/>
  <c r="P113" i="18"/>
  <c r="R113" i="18"/>
  <c r="S130" i="18"/>
  <c r="S133" i="18"/>
  <c r="S140" i="18"/>
  <c r="S152" i="18"/>
  <c r="S171" i="18"/>
  <c r="S174" i="18"/>
  <c r="S188" i="18"/>
  <c r="J192" i="18"/>
  <c r="S192" i="18"/>
  <c r="S197" i="18"/>
  <c r="S202" i="18"/>
  <c r="S205" i="18"/>
  <c r="K223" i="18"/>
  <c r="M223" i="18"/>
  <c r="N223" i="18"/>
  <c r="O223" i="18"/>
  <c r="P223" i="18"/>
  <c r="Q223" i="18"/>
  <c r="R223" i="18"/>
  <c r="L235" i="18"/>
  <c r="M235" i="18"/>
  <c r="M241" i="18"/>
  <c r="S241" i="18"/>
  <c r="J210" i="18"/>
  <c r="K210" i="18"/>
  <c r="L210" i="18"/>
  <c r="M210" i="18"/>
  <c r="N210" i="18"/>
  <c r="O210" i="18"/>
  <c r="P210" i="18"/>
  <c r="Q210" i="18"/>
  <c r="R210" i="18"/>
  <c r="S141" i="18"/>
  <c r="R145" i="18"/>
  <c r="S145" i="18"/>
  <c r="S367" i="18"/>
  <c r="P362" i="18"/>
  <c r="Q362" i="18"/>
  <c r="R362" i="18"/>
  <c r="M362" i="18"/>
  <c r="M365" i="18" s="1"/>
  <c r="S365" i="18" s="1"/>
  <c r="N362" i="18"/>
  <c r="O362" i="18"/>
  <c r="L362" i="18"/>
  <c r="S363" i="18"/>
  <c r="S361" i="18"/>
  <c r="S350" i="18"/>
  <c r="S351" i="18"/>
  <c r="S352" i="18"/>
  <c r="S344" i="18"/>
  <c r="S345" i="18"/>
  <c r="S346" i="18"/>
  <c r="S347" i="18"/>
  <c r="S348" i="18"/>
  <c r="S349" i="18"/>
  <c r="S343" i="18"/>
  <c r="K328" i="18"/>
  <c r="L328" i="18"/>
  <c r="M328" i="18"/>
  <c r="N328" i="18"/>
  <c r="O328" i="18"/>
  <c r="P328" i="18"/>
  <c r="Q328" i="18"/>
  <c r="R328" i="18"/>
  <c r="S332" i="18"/>
  <c r="S325" i="18"/>
  <c r="S326" i="18"/>
  <c r="N323" i="18"/>
  <c r="O323" i="18"/>
  <c r="P323" i="18"/>
  <c r="Q323" i="18"/>
  <c r="Q327" i="18" s="1"/>
  <c r="R323" i="18"/>
  <c r="R327" i="18"/>
  <c r="K323" i="18"/>
  <c r="L323" i="18"/>
  <c r="M323" i="18"/>
  <c r="S267" i="18"/>
  <c r="S206" i="18"/>
  <c r="S208" i="18"/>
  <c r="S209" i="18"/>
  <c r="S149" i="18"/>
  <c r="S148" i="18"/>
  <c r="S153" i="18"/>
  <c r="S154" i="18"/>
  <c r="P46" i="18"/>
  <c r="Q46" i="18"/>
  <c r="R46" i="18"/>
  <c r="S50" i="18"/>
  <c r="S128" i="18"/>
  <c r="S129" i="18"/>
  <c r="S168" i="18"/>
  <c r="S172" i="18"/>
  <c r="S173" i="18"/>
  <c r="S175" i="18"/>
  <c r="K246" i="18"/>
  <c r="L246" i="18"/>
  <c r="M246" i="18"/>
  <c r="N246" i="18"/>
  <c r="O246" i="18"/>
  <c r="P246" i="18"/>
  <c r="Q246" i="18"/>
  <c r="R246" i="18"/>
  <c r="J246" i="18"/>
  <c r="S219" i="18"/>
  <c r="S214" i="18"/>
  <c r="S215" i="18"/>
  <c r="S216" i="18"/>
  <c r="S251" i="18"/>
  <c r="S211" i="18"/>
  <c r="S212" i="18"/>
  <c r="S213" i="18"/>
  <c r="P132" i="18"/>
  <c r="Q132" i="18"/>
  <c r="R132" i="18"/>
  <c r="S266" i="18"/>
  <c r="P376" i="18"/>
  <c r="Q376" i="18"/>
  <c r="R376" i="18"/>
  <c r="S385" i="18"/>
  <c r="S383" i="18"/>
  <c r="K376" i="18"/>
  <c r="L376" i="18"/>
  <c r="O376" i="18"/>
  <c r="S380" i="18"/>
  <c r="S374" i="18"/>
  <c r="S370" i="18" s="1"/>
  <c r="S368" i="18" s="1"/>
  <c r="S85" i="18"/>
  <c r="S86" i="18"/>
  <c r="S201" i="18"/>
  <c r="H29" i="20"/>
  <c r="H22" i="20" s="1"/>
  <c r="E98" i="20"/>
  <c r="F98" i="20"/>
  <c r="G98" i="20" s="1"/>
  <c r="G97" i="20" s="1"/>
  <c r="G20" i="20"/>
  <c r="H20" i="20" s="1"/>
  <c r="H71" i="20" s="1"/>
  <c r="H69" i="20" s="1"/>
  <c r="G17" i="20"/>
  <c r="J223" i="18"/>
  <c r="S223" i="18"/>
  <c r="J88" i="18"/>
  <c r="S88" i="18" s="1"/>
  <c r="S89" i="18"/>
  <c r="S90" i="18"/>
  <c r="S92" i="18"/>
  <c r="S93" i="18"/>
  <c r="S94" i="18"/>
  <c r="S96" i="18"/>
  <c r="S98" i="18"/>
  <c r="S99" i="18"/>
  <c r="S124" i="18"/>
  <c r="S125" i="18"/>
  <c r="S126" i="18"/>
  <c r="S131" i="18"/>
  <c r="K132" i="18"/>
  <c r="L132" i="18"/>
  <c r="M132" i="18"/>
  <c r="N132" i="18"/>
  <c r="S135" i="18"/>
  <c r="S136" i="18"/>
  <c r="S137" i="18"/>
  <c r="S139" i="18"/>
  <c r="S143" i="18"/>
  <c r="S151" i="18"/>
  <c r="G22" i="20"/>
  <c r="S193" i="18"/>
  <c r="H125" i="20"/>
  <c r="H123" i="20" s="1"/>
  <c r="I125" i="20"/>
  <c r="G125" i="20"/>
  <c r="G123" i="20"/>
  <c r="H108" i="20"/>
  <c r="H106" i="20" s="1"/>
  <c r="M271" i="18" s="1"/>
  <c r="I108" i="20"/>
  <c r="I106" i="20" s="1"/>
  <c r="N271" i="18" s="1"/>
  <c r="O271" i="18"/>
  <c r="H105" i="20"/>
  <c r="I105" i="20"/>
  <c r="G108" i="20"/>
  <c r="G106" i="20" s="1"/>
  <c r="L271" i="18" s="1"/>
  <c r="G105" i="20"/>
  <c r="G95" i="20"/>
  <c r="G93" i="20"/>
  <c r="G92" i="20"/>
  <c r="G90" i="20"/>
  <c r="H95" i="20"/>
  <c r="I95" i="20"/>
  <c r="H65" i="20"/>
  <c r="I65" i="20"/>
  <c r="G65" i="20"/>
  <c r="D46" i="20"/>
  <c r="E46" i="20"/>
  <c r="F46" i="20"/>
  <c r="H46" i="20"/>
  <c r="I46" i="20"/>
  <c r="G46" i="20"/>
  <c r="F35" i="20"/>
  <c r="F104" i="20"/>
  <c r="F103" i="20" s="1"/>
  <c r="K270" i="18" s="1"/>
  <c r="F64" i="20"/>
  <c r="F63" i="20" s="1"/>
  <c r="F20" i="20"/>
  <c r="F47" i="20"/>
  <c r="E136" i="20"/>
  <c r="E135" i="20" s="1"/>
  <c r="F135" i="20"/>
  <c r="G136" i="20"/>
  <c r="G135" i="20"/>
  <c r="G137" i="20"/>
  <c r="I135" i="20"/>
  <c r="E134" i="20"/>
  <c r="E132" i="20"/>
  <c r="F132" i="20"/>
  <c r="G134" i="20"/>
  <c r="G132" i="20"/>
  <c r="H134" i="20"/>
  <c r="H132" i="20" s="1"/>
  <c r="I132" i="20"/>
  <c r="E126" i="20"/>
  <c r="F126" i="20"/>
  <c r="G126" i="20"/>
  <c r="H126" i="20"/>
  <c r="F129" i="20"/>
  <c r="G129" i="20"/>
  <c r="H129" i="20"/>
  <c r="I129" i="20"/>
  <c r="E123" i="20"/>
  <c r="F123" i="20"/>
  <c r="I123" i="20"/>
  <c r="S320" i="18"/>
  <c r="E116" i="20"/>
  <c r="F116" i="20"/>
  <c r="G116" i="20"/>
  <c r="E119" i="20"/>
  <c r="F119" i="20"/>
  <c r="G119" i="20"/>
  <c r="H97" i="20"/>
  <c r="M262" i="18" s="1"/>
  <c r="I97" i="20"/>
  <c r="N262" i="18"/>
  <c r="O262" i="18"/>
  <c r="E100" i="20"/>
  <c r="J263" i="18"/>
  <c r="F100" i="20"/>
  <c r="K263" i="18" s="1"/>
  <c r="G100" i="20"/>
  <c r="L263" i="18"/>
  <c r="H100" i="20"/>
  <c r="M263" i="18" s="1"/>
  <c r="I100" i="20"/>
  <c r="N263" i="18"/>
  <c r="O263" i="18"/>
  <c r="S191" i="18"/>
  <c r="E84" i="20"/>
  <c r="E89" i="20"/>
  <c r="E87" i="20" s="1"/>
  <c r="E83" i="20" s="1"/>
  <c r="F84" i="20"/>
  <c r="F89" i="20"/>
  <c r="F87" i="20" s="1"/>
  <c r="F83" i="20" s="1"/>
  <c r="G84" i="20"/>
  <c r="G89" i="20"/>
  <c r="G87" i="20"/>
  <c r="G83" i="20" s="1"/>
  <c r="H84" i="20"/>
  <c r="H89" i="20"/>
  <c r="H87" i="20" s="1"/>
  <c r="H83" i="20" s="1"/>
  <c r="I84" i="20"/>
  <c r="I89" i="20"/>
  <c r="I87" i="20"/>
  <c r="E93" i="20"/>
  <c r="E92" i="20" s="1"/>
  <c r="E90" i="20" s="1"/>
  <c r="F93" i="20"/>
  <c r="F92" i="20" s="1"/>
  <c r="F90" i="20" s="1"/>
  <c r="H93" i="20"/>
  <c r="H92" i="20"/>
  <c r="H90" i="20"/>
  <c r="I93" i="20"/>
  <c r="I92" i="20" s="1"/>
  <c r="I90" i="20"/>
  <c r="S189" i="18"/>
  <c r="K190" i="18"/>
  <c r="S190" i="18"/>
  <c r="S195" i="18"/>
  <c r="S196" i="18"/>
  <c r="S198" i="18"/>
  <c r="S200" i="18"/>
  <c r="E16" i="20"/>
  <c r="F16" i="20"/>
  <c r="E19" i="20"/>
  <c r="F21" i="20"/>
  <c r="F39" i="20" s="1"/>
  <c r="F38" i="20" s="1"/>
  <c r="I21" i="20"/>
  <c r="I39" i="20" s="1"/>
  <c r="I38" i="20" s="1"/>
  <c r="E23" i="20"/>
  <c r="E32" i="20"/>
  <c r="E29" i="20" s="1"/>
  <c r="F23" i="20"/>
  <c r="F29" i="20"/>
  <c r="H27" i="20"/>
  <c r="I22" i="20"/>
  <c r="E36" i="20"/>
  <c r="E35" i="20" s="1"/>
  <c r="G35" i="20"/>
  <c r="H35" i="20"/>
  <c r="I35" i="20"/>
  <c r="E39" i="20"/>
  <c r="E38" i="20" s="1"/>
  <c r="E42" i="20"/>
  <c r="E41" i="20" s="1"/>
  <c r="F42" i="20"/>
  <c r="F41" i="20" s="1"/>
  <c r="G42" i="20"/>
  <c r="G41" i="20" s="1"/>
  <c r="H42" i="20"/>
  <c r="H41" i="20" s="1"/>
  <c r="I42" i="20"/>
  <c r="I41" i="20" s="1"/>
  <c r="E47" i="20"/>
  <c r="E63" i="20"/>
  <c r="G64" i="20"/>
  <c r="G63" i="20"/>
  <c r="H64" i="20"/>
  <c r="H63" i="20" s="1"/>
  <c r="I64" i="20"/>
  <c r="I63" i="20"/>
  <c r="E66" i="20"/>
  <c r="F68" i="20"/>
  <c r="G67" i="20"/>
  <c r="G68" i="20"/>
  <c r="G66" i="20"/>
  <c r="H67" i="20"/>
  <c r="H68" i="20"/>
  <c r="H66" i="20" s="1"/>
  <c r="I67" i="20"/>
  <c r="I68" i="20"/>
  <c r="M46" i="18"/>
  <c r="N46" i="18"/>
  <c r="O46" i="18"/>
  <c r="S54" i="18"/>
  <c r="S55" i="18"/>
  <c r="E69" i="20"/>
  <c r="E74" i="20"/>
  <c r="E72" i="20" s="1"/>
  <c r="F72" i="20"/>
  <c r="G74" i="20"/>
  <c r="G72" i="20" s="1"/>
  <c r="H72" i="20"/>
  <c r="F106" i="20"/>
  <c r="K271" i="18"/>
  <c r="E106" i="20"/>
  <c r="O270" i="18"/>
  <c r="I104" i="20"/>
  <c r="I103" i="20"/>
  <c r="N270" i="18" s="1"/>
  <c r="H104" i="20"/>
  <c r="H103" i="20" s="1"/>
  <c r="M270" i="18"/>
  <c r="G104" i="20"/>
  <c r="G103" i="20" s="1"/>
  <c r="L270" i="18" s="1"/>
  <c r="E104" i="20"/>
  <c r="E103" i="20" s="1"/>
  <c r="J270" i="18" s="1"/>
  <c r="I80" i="20"/>
  <c r="H80" i="20"/>
  <c r="G80" i="20"/>
  <c r="F80" i="20"/>
  <c r="E80" i="20"/>
  <c r="E77" i="20"/>
  <c r="E76" i="20" s="1"/>
  <c r="I76" i="20"/>
  <c r="H76" i="20"/>
  <c r="G76" i="20"/>
  <c r="S264" i="18"/>
  <c r="S265" i="18"/>
  <c r="J271" i="18"/>
  <c r="S273" i="18"/>
  <c r="S275" i="18"/>
  <c r="S277" i="18"/>
  <c r="S279" i="18"/>
  <c r="S281" i="18"/>
  <c r="S283" i="18"/>
  <c r="S285" i="18"/>
  <c r="S287" i="18"/>
  <c r="S289" i="18"/>
  <c r="S291" i="18"/>
  <c r="S293" i="18"/>
  <c r="S295" i="18"/>
  <c r="S297" i="18"/>
  <c r="D17" i="20"/>
  <c r="D16" i="20"/>
  <c r="D21" i="20"/>
  <c r="D23" i="20"/>
  <c r="D22" i="20" s="1"/>
  <c r="D32" i="20"/>
  <c r="D29" i="20"/>
  <c r="D35" i="20"/>
  <c r="D42" i="20"/>
  <c r="D41" i="20" s="1"/>
  <c r="D63" i="20"/>
  <c r="D66" i="20"/>
  <c r="D69" i="20"/>
  <c r="D74" i="20"/>
  <c r="D72" i="20" s="1"/>
  <c r="D76" i="20"/>
  <c r="D80" i="20"/>
  <c r="D84" i="20"/>
  <c r="D83" i="20" s="1"/>
  <c r="D89" i="20"/>
  <c r="D87" i="20"/>
  <c r="D93" i="20"/>
  <c r="D92" i="20" s="1"/>
  <c r="D90" i="20" s="1"/>
  <c r="D97" i="20"/>
  <c r="D100" i="20"/>
  <c r="D104" i="20"/>
  <c r="D103" i="20"/>
  <c r="D106" i="20"/>
  <c r="D116" i="20"/>
  <c r="D119" i="20"/>
  <c r="D123" i="20"/>
  <c r="D126" i="20"/>
  <c r="D132" i="20"/>
  <c r="D135" i="20"/>
  <c r="I186" i="18"/>
  <c r="D39" i="20"/>
  <c r="D38" i="20" s="1"/>
  <c r="E97" i="20"/>
  <c r="J262" i="18"/>
  <c r="S43" i="18"/>
  <c r="F71" i="20"/>
  <c r="F69" i="20" s="1"/>
  <c r="F19" i="20"/>
  <c r="S210" i="18"/>
  <c r="R372" i="18"/>
  <c r="G71" i="20"/>
  <c r="G69" i="20"/>
  <c r="S330" i="18"/>
  <c r="R335" i="18"/>
  <c r="R355" i="18"/>
  <c r="P335" i="18"/>
  <c r="O78" i="18"/>
  <c r="Q56" i="18"/>
  <c r="S87" i="18"/>
  <c r="S331" i="18"/>
  <c r="S82" i="18"/>
  <c r="S63" i="18"/>
  <c r="M57" i="18"/>
  <c r="S48" i="18"/>
  <c r="J42" i="18"/>
  <c r="S42" i="18"/>
  <c r="S53" i="18"/>
  <c r="S83" i="18"/>
  <c r="I19" i="20"/>
  <c r="I71" i="20"/>
  <c r="I69" i="20" s="1"/>
  <c r="J46" i="18"/>
  <c r="M260" i="18"/>
  <c r="H135" i="20"/>
  <c r="J336" i="18"/>
  <c r="P76" i="18"/>
  <c r="S144" i="18"/>
  <c r="Q335" i="18"/>
  <c r="O75" i="18"/>
  <c r="M355" i="18"/>
  <c r="N311" i="18"/>
  <c r="R311" i="18"/>
  <c r="Q311" i="18"/>
  <c r="P62" i="18"/>
  <c r="I116" i="20"/>
  <c r="N299" i="18"/>
  <c r="M335" i="18"/>
  <c r="M333" i="18"/>
  <c r="O56" i="18"/>
  <c r="J376" i="18"/>
  <c r="J375" i="18"/>
  <c r="S379" i="18"/>
  <c r="S155" i="18"/>
  <c r="L336" i="18"/>
  <c r="O117" i="18"/>
  <c r="S117" i="18"/>
  <c r="J328" i="18"/>
  <c r="S328" i="18" s="1"/>
  <c r="I126" i="20"/>
  <c r="I27" i="20"/>
  <c r="J217" i="18"/>
  <c r="S217" i="18" s="1"/>
  <c r="S220" i="18"/>
  <c r="P334" i="18"/>
  <c r="S338" i="18"/>
  <c r="R260" i="18"/>
  <c r="S134" i="18"/>
  <c r="I119" i="20"/>
  <c r="Q80" i="18"/>
  <c r="Q76" i="18" s="1"/>
  <c r="D19" i="20"/>
  <c r="G47" i="20"/>
  <c r="I16" i="20"/>
  <c r="G16" i="20"/>
  <c r="I83" i="20"/>
  <c r="S44" i="18"/>
  <c r="S186" i="18"/>
  <c r="R270" i="18"/>
  <c r="S270" i="18" s="1"/>
  <c r="F97" i="20"/>
  <c r="K262" i="18"/>
  <c r="L262" i="18"/>
  <c r="S60" i="18"/>
  <c r="F67" i="20"/>
  <c r="F66" i="20"/>
  <c r="L76" i="18"/>
  <c r="Q39" i="18"/>
  <c r="Q26" i="18"/>
  <c r="R37" i="18"/>
  <c r="Q113" i="18"/>
  <c r="P77" i="18"/>
  <c r="P78" i="18"/>
  <c r="K38" i="18"/>
  <c r="J311" i="18"/>
  <c r="S315" i="18"/>
  <c r="J259" i="18"/>
  <c r="J258" i="18"/>
  <c r="J260" i="18"/>
  <c r="N298" i="18"/>
  <c r="J337" i="18"/>
  <c r="L78" i="18"/>
  <c r="N78" i="18"/>
  <c r="R77" i="18"/>
  <c r="R78" i="18"/>
  <c r="J182" i="18"/>
  <c r="P309" i="18"/>
  <c r="N77" i="18"/>
  <c r="K259" i="18"/>
  <c r="K258" i="18" s="1"/>
  <c r="K260" i="18"/>
  <c r="Q77" i="18"/>
  <c r="Q78" i="18"/>
  <c r="S339" i="18"/>
  <c r="S246" i="18"/>
  <c r="P26" i="18"/>
  <c r="L56" i="18"/>
  <c r="M182" i="18"/>
  <c r="S299" i="18"/>
  <c r="S165" i="18"/>
  <c r="Q182" i="18"/>
  <c r="N76" i="18"/>
  <c r="Q75" i="18"/>
  <c r="R76" i="18"/>
  <c r="O76" i="18"/>
  <c r="O37" i="18"/>
  <c r="Q37" i="18"/>
  <c r="P37" i="18"/>
  <c r="R313" i="18"/>
  <c r="Q313" i="18"/>
  <c r="Q312" i="18"/>
  <c r="Q309" i="18"/>
  <c r="O334" i="18"/>
  <c r="O333" i="18" s="1"/>
  <c r="O355" i="18"/>
  <c r="O370" i="18"/>
  <c r="O372" i="18"/>
  <c r="M370" i="18"/>
  <c r="M372" i="18"/>
  <c r="O77" i="18"/>
  <c r="O25" i="18" s="1"/>
  <c r="R74" i="18"/>
  <c r="L310" i="18"/>
  <c r="L313" i="18"/>
  <c r="K182" i="18"/>
  <c r="K76" i="18"/>
  <c r="N372" i="18"/>
  <c r="N371" i="18"/>
  <c r="O259" i="18"/>
  <c r="O258" i="18"/>
  <c r="O260" i="18"/>
  <c r="L259" i="18"/>
  <c r="L258" i="18" s="1"/>
  <c r="S261" i="18"/>
  <c r="N310" i="18"/>
  <c r="N313" i="18"/>
  <c r="K56" i="18"/>
  <c r="Q40" i="18"/>
  <c r="Q334" i="18"/>
  <c r="Q23" i="18" s="1"/>
  <c r="Q22" i="18" s="1"/>
  <c r="Q333" i="18"/>
  <c r="N40" i="18"/>
  <c r="P313" i="18"/>
  <c r="Q372" i="18"/>
  <c r="S376" i="18"/>
  <c r="L355" i="18"/>
  <c r="K313" i="18"/>
  <c r="S183" i="18"/>
  <c r="M39" i="18"/>
  <c r="R182" i="18"/>
  <c r="L371" i="18"/>
  <c r="L368" i="18" s="1"/>
  <c r="K372" i="18"/>
  <c r="O337" i="18"/>
  <c r="L260" i="18"/>
  <c r="R337" i="18"/>
  <c r="P182" i="18"/>
  <c r="N337" i="18"/>
  <c r="M337" i="18"/>
  <c r="K334" i="18"/>
  <c r="S356" i="18"/>
  <c r="K355" i="18"/>
  <c r="S184" i="18"/>
  <c r="S57" i="18"/>
  <c r="N56" i="18"/>
  <c r="N37" i="18"/>
  <c r="L40" i="18"/>
  <c r="L37" i="18"/>
  <c r="K40" i="18"/>
  <c r="K37" i="18"/>
  <c r="K36" i="18"/>
  <c r="R40" i="18"/>
  <c r="L38" i="18"/>
  <c r="O313" i="18"/>
  <c r="O310" i="18"/>
  <c r="O23" i="18" s="1"/>
  <c r="O22" i="18" s="1"/>
  <c r="H120" i="20"/>
  <c r="H119" i="20"/>
  <c r="M311" i="18"/>
  <c r="M309" i="18" s="1"/>
  <c r="M313" i="18"/>
  <c r="R59" i="18"/>
  <c r="R56" i="18"/>
  <c r="R62" i="18"/>
  <c r="S65" i="18"/>
  <c r="Q62" i="18"/>
  <c r="S132" i="18"/>
  <c r="O335" i="18"/>
  <c r="O24" i="18" s="1"/>
  <c r="P259" i="18"/>
  <c r="P258" i="18" s="1"/>
  <c r="O38" i="18"/>
  <c r="J75" i="18"/>
  <c r="N75" i="18"/>
  <c r="N74" i="18" s="1"/>
  <c r="L75" i="18"/>
  <c r="L23" i="18"/>
  <c r="M259" i="18"/>
  <c r="M258" i="18" s="1"/>
  <c r="Q258" i="18"/>
  <c r="Q25" i="18"/>
  <c r="R23" i="18"/>
  <c r="Q36" i="18"/>
  <c r="P36" i="18"/>
  <c r="Q74" i="18"/>
  <c r="Q24" i="18"/>
  <c r="K23" i="18"/>
  <c r="O26" i="18"/>
  <c r="O368" i="18"/>
  <c r="L309" i="18"/>
  <c r="M23" i="18"/>
  <c r="O309" i="18"/>
  <c r="R309" i="18"/>
  <c r="S75" i="18"/>
  <c r="P74" i="18"/>
  <c r="P333" i="18"/>
  <c r="R333" i="18"/>
  <c r="S46" i="18"/>
  <c r="S235" i="18"/>
  <c r="S113" i="18"/>
  <c r="K335" i="18"/>
  <c r="K24" i="18"/>
  <c r="K309" i="18"/>
  <c r="Q368" i="18"/>
  <c r="M368" i="18"/>
  <c r="K368" i="18"/>
  <c r="J38" i="18"/>
  <c r="P25" i="18"/>
  <c r="P22" i="18" s="1"/>
  <c r="R24" i="18"/>
  <c r="S375" i="18"/>
  <c r="J372" i="18"/>
  <c r="S372" i="18" s="1"/>
  <c r="J371" i="18"/>
  <c r="M26" i="18"/>
  <c r="R25" i="18"/>
  <c r="S298" i="18"/>
  <c r="N259" i="18"/>
  <c r="N258" i="18" s="1"/>
  <c r="Q27" i="18"/>
  <c r="S336" i="18"/>
  <c r="S327" i="18"/>
  <c r="N23" i="18"/>
  <c r="R368" i="18"/>
  <c r="P24" i="18"/>
  <c r="J81" i="18"/>
  <c r="I66" i="20"/>
  <c r="L36" i="18"/>
  <c r="R39" i="18"/>
  <c r="R26" i="18" s="1"/>
  <c r="L26" i="18"/>
  <c r="K333" i="18"/>
  <c r="S259" i="18"/>
  <c r="S258" i="18" s="1"/>
  <c r="S371" i="18"/>
  <c r="J368" i="18"/>
  <c r="S29" i="18"/>
  <c r="R36" i="18"/>
  <c r="R27" i="18"/>
  <c r="S33" i="18"/>
  <c r="S30" i="18"/>
  <c r="N309" i="18"/>
  <c r="O74" i="18"/>
  <c r="N25" i="18"/>
  <c r="N368" i="18"/>
  <c r="O36" i="18"/>
  <c r="O27" i="18" s="1"/>
  <c r="N36" i="18"/>
  <c r="N26" i="18"/>
  <c r="R22" i="18" l="1"/>
  <c r="J77" i="18"/>
  <c r="F22" i="20"/>
  <c r="L337" i="18"/>
  <c r="S337" i="18" s="1"/>
  <c r="L335" i="18"/>
  <c r="K81" i="18"/>
  <c r="S81" i="18" s="1"/>
  <c r="J59" i="18"/>
  <c r="J62" i="18"/>
  <c r="S62" i="18" s="1"/>
  <c r="S260" i="18"/>
  <c r="H17" i="20"/>
  <c r="G21" i="20"/>
  <c r="Q355" i="18"/>
  <c r="J80" i="18"/>
  <c r="J132" i="18"/>
  <c r="N335" i="18"/>
  <c r="N355" i="18"/>
  <c r="S311" i="18"/>
  <c r="S334" i="18"/>
  <c r="E22" i="20"/>
  <c r="J357" i="18"/>
  <c r="J362" i="18"/>
  <c r="S362" i="18" s="1"/>
  <c r="S364" i="18"/>
  <c r="J323" i="18"/>
  <c r="S323" i="18" s="1"/>
  <c r="J316" i="18"/>
  <c r="S47" i="18"/>
  <c r="J41" i="18"/>
  <c r="P368" i="18"/>
  <c r="P27" i="18" s="1"/>
  <c r="M37" i="18"/>
  <c r="M40" i="18"/>
  <c r="F77" i="20"/>
  <c r="F76" i="20" s="1"/>
  <c r="S199" i="18"/>
  <c r="N84" i="18"/>
  <c r="S84" i="18" s="1"/>
  <c r="M58" i="18"/>
  <c r="M81" i="18"/>
  <c r="J314" i="18"/>
  <c r="L185" i="18"/>
  <c r="S238" i="18"/>
  <c r="M56" i="18" l="1"/>
  <c r="S58" i="18"/>
  <c r="M38" i="18"/>
  <c r="S80" i="18"/>
  <c r="J78" i="18"/>
  <c r="J76" i="18"/>
  <c r="J74" i="18" s="1"/>
  <c r="L333" i="18"/>
  <c r="L24" i="18"/>
  <c r="L77" i="18"/>
  <c r="S185" i="18"/>
  <c r="S182" i="18" s="1"/>
  <c r="L182" i="18"/>
  <c r="M24" i="18"/>
  <c r="M36" i="18"/>
  <c r="J312" i="18"/>
  <c r="S312" i="18" s="1"/>
  <c r="S316" i="18"/>
  <c r="S357" i="18"/>
  <c r="J355" i="18"/>
  <c r="S355" i="18" s="1"/>
  <c r="J335" i="18"/>
  <c r="S314" i="18"/>
  <c r="J310" i="18"/>
  <c r="J313" i="18"/>
  <c r="S313" i="18" s="1"/>
  <c r="N333" i="18"/>
  <c r="N27" i="18" s="1"/>
  <c r="N24" i="18"/>
  <c r="N22" i="18" s="1"/>
  <c r="G39" i="20"/>
  <c r="G38" i="20" s="1"/>
  <c r="G19" i="20"/>
  <c r="J39" i="18"/>
  <c r="J56" i="18"/>
  <c r="S59" i="18"/>
  <c r="M78" i="18"/>
  <c r="M77" i="18"/>
  <c r="M74" i="18" s="1"/>
  <c r="S41" i="18"/>
  <c r="J37" i="18"/>
  <c r="J40" i="18"/>
  <c r="S40" i="18" s="1"/>
  <c r="H16" i="20"/>
  <c r="H21" i="20"/>
  <c r="K77" i="18"/>
  <c r="K78" i="18"/>
  <c r="J26" i="18" l="1"/>
  <c r="S26" i="18" s="1"/>
  <c r="S39" i="18"/>
  <c r="J333" i="18"/>
  <c r="S335" i="18"/>
  <c r="S333" i="18" s="1"/>
  <c r="M27" i="18"/>
  <c r="L25" i="18"/>
  <c r="L74" i="18"/>
  <c r="L27" i="18" s="1"/>
  <c r="J36" i="18"/>
  <c r="J24" i="18"/>
  <c r="S24" i="18" s="1"/>
  <c r="S37" i="18"/>
  <c r="S310" i="18"/>
  <c r="S309" i="18" s="1"/>
  <c r="J309" i="18"/>
  <c r="J23" i="18"/>
  <c r="L22" i="18"/>
  <c r="S76" i="18"/>
  <c r="S78" i="18"/>
  <c r="J25" i="18"/>
  <c r="K74" i="18"/>
  <c r="K27" i="18" s="1"/>
  <c r="K25" i="18"/>
  <c r="K22" i="18" s="1"/>
  <c r="H39" i="20"/>
  <c r="H38" i="20" s="1"/>
  <c r="H19" i="20"/>
  <c r="M22" i="18"/>
  <c r="S56" i="18"/>
  <c r="M25" i="18"/>
  <c r="S38" i="18"/>
  <c r="S77" i="18"/>
  <c r="J27" i="18" l="1"/>
  <c r="S74" i="18"/>
  <c r="S36" i="18"/>
  <c r="S25" i="18"/>
  <c r="S23" i="18"/>
  <c r="J22" i="18"/>
  <c r="S22" i="18" s="1"/>
  <c r="S27" i="18" l="1"/>
  <c r="U22" i="18"/>
</calcChain>
</file>

<file path=xl/comments1.xml><?xml version="1.0" encoding="utf-8"?>
<comments xmlns="http://schemas.openxmlformats.org/spreadsheetml/2006/main">
  <authors>
    <author>Zavackayamv</author>
    <author>Завацкая Мария Владимировна</author>
  </authors>
  <commentList>
    <comment ref="M267" authorId="0" shapeId="0">
      <text>
        <r>
          <rPr>
            <b/>
            <sz val="8"/>
            <color indexed="81"/>
            <rFont val="Tahoma"/>
            <family val="2"/>
            <charset val="204"/>
          </rPr>
          <t>Zavackayamv:</t>
        </r>
        <r>
          <rPr>
            <sz val="8"/>
            <color indexed="81"/>
            <rFont val="Tahoma"/>
            <family val="2"/>
            <charset val="204"/>
          </rPr>
          <t xml:space="preserve">
1 проект - квартал
1 проект - часть территории квартала, поэтому на показатель 1 влияет по одному кварталу ежегодно
</t>
        </r>
      </text>
    </comment>
    <comment ref="N267" authorId="1" shapeId="0">
      <text>
        <r>
          <rPr>
            <b/>
            <sz val="9"/>
            <color indexed="81"/>
            <rFont val="Tahoma"/>
            <family val="2"/>
            <charset val="204"/>
          </rPr>
          <t>Завацкая Мария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95+84+89+186</t>
        </r>
      </text>
    </comment>
  </commentList>
</comments>
</file>

<file path=xl/comments2.xml><?xml version="1.0" encoding="utf-8"?>
<comments xmlns="http://schemas.openxmlformats.org/spreadsheetml/2006/main">
  <authors>
    <author>Zavackayamv</author>
    <author>Завацкая Мария Владимировна</author>
    <author>zavackayamv</author>
  </authors>
  <commentList>
    <comment ref="M43" authorId="0" shapeId="0">
      <text>
        <r>
          <rPr>
            <b/>
            <sz val="8"/>
            <color indexed="81"/>
            <rFont val="Tahoma"/>
            <family val="2"/>
            <charset val="204"/>
          </rPr>
          <t>Zavackayamv:</t>
        </r>
        <r>
          <rPr>
            <sz val="8"/>
            <color indexed="81"/>
            <rFont val="Tahoma"/>
            <family val="2"/>
            <charset val="204"/>
          </rPr>
          <t xml:space="preserve">
+ лыжн. база</t>
        </r>
      </text>
    </comment>
    <comment ref="I47" authorId="1" shapeId="0">
      <text>
        <r>
          <rPr>
            <b/>
            <sz val="9"/>
            <color indexed="81"/>
            <rFont val="Tahoma"/>
            <family val="2"/>
            <charset val="204"/>
          </rPr>
          <t>Завацкая Мария Владимировна:</t>
        </r>
        <r>
          <rPr>
            <sz val="9"/>
            <color indexed="81"/>
            <rFont val="Tahoma"/>
            <family val="2"/>
            <charset val="204"/>
          </rPr>
          <t xml:space="preserve">
факт за 2019 год - 6 ед.+ ненокса+рек.Морского+наб. зряч
</t>
        </r>
      </text>
    </comment>
    <comment ref="D91" authorId="2" shapeId="0">
      <text>
        <r>
          <rPr>
            <b/>
            <sz val="8"/>
            <color indexed="81"/>
            <rFont val="Tahoma"/>
            <family val="2"/>
            <charset val="204"/>
          </rPr>
          <t>zavackayamv:</t>
        </r>
        <r>
          <rPr>
            <sz val="8"/>
            <color indexed="81"/>
            <rFont val="Tahoma"/>
            <family val="2"/>
            <charset val="204"/>
          </rPr>
          <t xml:space="preserve">
СВЕРЕНО с ОФКиС форма 1ФК</t>
        </r>
      </text>
    </comment>
    <comment ref="D101" authorId="2" shapeId="0">
      <text>
        <r>
          <rPr>
            <b/>
            <sz val="8"/>
            <color indexed="81"/>
            <rFont val="Tahoma"/>
            <family val="2"/>
            <charset val="204"/>
          </rPr>
          <t>zavackayamv:</t>
        </r>
        <r>
          <rPr>
            <sz val="8"/>
            <color indexed="81"/>
            <rFont val="Tahoma"/>
            <family val="2"/>
            <charset val="204"/>
          </rPr>
          <t xml:space="preserve">
Сверено с отделом строительства и архитектуры</t>
        </r>
      </text>
    </comment>
  </commentList>
</comments>
</file>

<file path=xl/sharedStrings.xml><?xml version="1.0" encoding="utf-8"?>
<sst xmlns="http://schemas.openxmlformats.org/spreadsheetml/2006/main" count="1667" uniqueCount="482">
  <si>
    <t>Мероприятие 2.11 «Проектирование и строительство объекта «Детский сад 
на 280 мест в 162 квартале города Северодвинска Архангельской области»</t>
  </si>
  <si>
    <t>Показатель 2 «Количество документов по описанию и установлению 
на местности местоположения границ населенных пунктов»</t>
  </si>
  <si>
    <t>Показатель 2  «Площадь земельных участков, предоставленных 
для строительства, в расчете на 10 тыс. чел. населения»</t>
  </si>
  <si>
    <t>Показатель 1 «Количество выданных архитектурно-планировочных заданий 
(в год)»</t>
  </si>
  <si>
    <t>Административное мероприятие 2.02 «Выдача разрешений (ордеров) 
на проведение (производство) земляных работ»</t>
  </si>
  <si>
    <t>Административное мероприятие 2.05 «Предоставление сведений 
из информационной системы обеспечения градостроительной деятельности»</t>
  </si>
  <si>
    <t>Показатель 1 «Количество рассмотренных заявлений о предоставлении сведений 
из информационной системы обеспечения градостроительной деятельности 
(в год)»</t>
  </si>
  <si>
    <t>Показатель 1 «Количество рассмотренных заявлений физических 
и юридических лиц о внесении изменений в правила землепользования 
и застройки (в год)»</t>
  </si>
  <si>
    <t>Возврат средств государственной корпорации - Фонда содействия реформированию жилищно-коммунального хозяйства и средств областного бюджета, предоставленных муниципальному образованию "Северодвинск" в рамках обеспечения мероприятий по переселению граждан из аварийного жилищного фонда</t>
  </si>
  <si>
    <t>Мероприятие 1.17 «Выполнение работ по обоснованию инвестиционных проектов в сфере дорожного хозяйства»</t>
  </si>
  <si>
    <t>Мероприятие 2.05 «Проектирование кладбища, расположенного на территории муниципального образования «Северодвинск»</t>
  </si>
  <si>
    <t>Мероприятие 2.13 «Строительство спортивного комплекса на стадионе «Север»  в г. Северодвинске (1 этап)»</t>
  </si>
  <si>
    <t>Показатель 3 «Общая площадь введенного в эксплуатацию здания»</t>
  </si>
  <si>
    <t>Показатель 2 «Площадь застройки»</t>
  </si>
  <si>
    <t>Показатель 1 «Объем  работ по устройству земляного полотна»</t>
  </si>
  <si>
    <t>Показатель 4 «Площадь первого нижнего слоя асфальтобетонного покрытия»</t>
  </si>
  <si>
    <t>Мероприятие 1.23 «Проектирование и строительство пешеходных мостов через реки Кудьма и Ширшема»</t>
  </si>
  <si>
    <t>Показатель 3 «Протяженность мостового перехода»</t>
  </si>
  <si>
    <t>Показатель 1 «Количество рассмотренных заявлений физических 
и юридических лиц о подготовке документации по планировке территории 
(в год)»</t>
  </si>
  <si>
    <t>Показатель 1 «Количество рассмотренных заявлений физических и юридических лиц о внесении изменений в генеральный план Северодвинска 
(в год)»</t>
  </si>
  <si>
    <t>Административное мероприятие 2.10 «Подготовка и выдача разрешений 
на условно разрешенный вид использования земельных участков или объектов капитального строительства»</t>
  </si>
  <si>
    <t>Показатель 1 «Доля 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 
(в процентах от общего объема средств федерального бюджета, выделенных муниципальным образованиям Архангельской области)»</t>
  </si>
  <si>
    <t>Административное  мероприятие 1.01 «Утверждение правовых актов 
по включению молодых семей в число участников подпрограммы»</t>
  </si>
  <si>
    <t>Мероприятие 1.03 «Предоставление социальных выплат молодым семьям 
(в рамках текущего финансового года)»</t>
  </si>
  <si>
    <t xml:space="preserve">Показатель 1 «Количество выданных свидетельств со сроком действия 
за пределами отчетного года» </t>
  </si>
  <si>
    <t>Показатель 2 «Доля семей, получивших субсидии на строительство 
и приобретение жилья в отчетном году, от общего числа семей, состоящих 
на учете для получения субсидии»</t>
  </si>
  <si>
    <t>Показатель 2 «Доля детей-сирот, детей, оставшихся без попечения родителей, 
и лиц из их числа, обеспеченных жилыми помещениями, от нуждающихся 
(в год)»</t>
  </si>
  <si>
    <t>Показатель 1 «Количество детей-сирот, обеспеченных жилыми помещениями 
(в год)»</t>
  </si>
  <si>
    <t>Административное мероприятие 2.01 «Размещение и обновление информации 
о ходе реализации программы переселения на официальном интернет-сайте Администрации Северодвинска»</t>
  </si>
  <si>
    <t>Мероприятие 1.02 «Выплата бюджетных средств, предусмотренных 
на исполнение судебных актов о предоставлении жилых помещений гражданам, 
с которыми заключены договоры социального найма жилых помещений, признанных непригодными для проживания»</t>
  </si>
  <si>
    <t>Показатель 1 «Количество  семей, улучшивших жилищные условия путем реализации государственных жилищных сертификатов (в год)»</t>
  </si>
  <si>
    <t>Показатель 1 «Количество проектной документации»</t>
  </si>
  <si>
    <t>Показатель 1  «Количество проектной документации»</t>
  </si>
  <si>
    <t>Показатель 2  «Протяженность ливневой канализации»</t>
  </si>
  <si>
    <t>Показатель 1 «Количество проектов в год»</t>
  </si>
  <si>
    <t>Показатель 1 «Количество земельных участков, в отношении которых  сформирована документация об изъятии»</t>
  </si>
  <si>
    <t>Показатель 2 «Обеспеченность территории муниципального образования «Северодвинск» муниципальными инженерными сетями»</t>
  </si>
  <si>
    <t>Обеспечивающая подпрограмма</t>
  </si>
  <si>
    <t>2. Административные мероприятия</t>
  </si>
  <si>
    <t>Показатель  «Количество обновлений»</t>
  </si>
  <si>
    <t>единиц</t>
  </si>
  <si>
    <t xml:space="preserve">Административное мероприятие 2.02 «Формирование отчета о расходовании средств Фонда, областного бюджета и местного бюджета на реализацию программы переселения согласно договору от 29.07.2013 № 17ФП-13» </t>
  </si>
  <si>
    <t>Показатель  «Количество отчетов»</t>
  </si>
  <si>
    <t xml:space="preserve">Мероприятие 1.03 «Предоставление гражданам субсидий на оплату жилого помещения и коммунальных услуг (в части субвенций местным бюджетам)» </t>
  </si>
  <si>
    <t>Показатель 2 «Протяженность выкупленной тепловой сети (нарастающим итогом)»</t>
  </si>
  <si>
    <t>Мероприятие 1.22 «Завершение строительства мостового перехода через реку Малая Кудьма на Солзенском шоссе в г. Северодвинске Архангельской области»</t>
  </si>
  <si>
    <t>Показатель 3 «Выкупленная площадь земельного участка (нарастающим итогом)»</t>
  </si>
  <si>
    <t>утвержденной постановлением Администрации Северодвинска</t>
  </si>
  <si>
    <t>Мероприятие 1.02 «Технологическое присоединение к инженерным сетям многоквартирных домов»</t>
  </si>
  <si>
    <t>Подпрограмма 2 «Развитие инженерной и социальной инфраструктуры»</t>
  </si>
  <si>
    <t>Административное мероприятие 2.01 «Подготовка и выдача архитектурно-планировочных заданий»</t>
  </si>
  <si>
    <t>Ответственный исполнитель: Управление градостроительства и земельных отношений Администрации Северодвинска.</t>
  </si>
  <si>
    <t>Административное мероприятие 2.12 «Подготовка и выдача градостроительного плана земельного участка»</t>
  </si>
  <si>
    <t>Подпрограмма 4 «Обеспечение жильем молодых семей»</t>
  </si>
  <si>
    <t>Подпрограмма 5 «Повышение уровня обеспеченности жильем жителей Северодвинска, нуждающихся в улучшении жилищных условий»</t>
  </si>
  <si>
    <t>Подпрограмма 1 «Содействие развитию жилищного строительства Северодвинска»</t>
  </si>
  <si>
    <t>Задача 1 «Обеспечение условий для строительства жилья в Северодвинске»</t>
  </si>
  <si>
    <t>Показатель 1 «Площадь выкупаемых у собственников жилых помещений»</t>
  </si>
  <si>
    <t>Показатель 1 «Количество контрактов на корректировку проектной документации»</t>
  </si>
  <si>
    <t>Показатель 2 «Площадь восстановленного асфальтобетонного покрытия»</t>
  </si>
  <si>
    <t>Задача 2 «Переселение граждан из аварийного жилищного фонда»</t>
  </si>
  <si>
    <t>Отношение площади земельных участков, предоставленных для строительства в год к среднегодовой численности населения Северодвинска, умноженное на 10 000</t>
  </si>
  <si>
    <t>Показатель 1 «Количество семей, улучшивших жилищные условия за счет получения субсидии из местного бюджета»</t>
  </si>
  <si>
    <t xml:space="preserve">Задача 2 «Реализация градостроительной политики» </t>
  </si>
  <si>
    <t>Подпрограмма 3 «Развитие градостроительства»</t>
  </si>
  <si>
    <t>Мероприятие 1.01 «Проектирование и строительство многоквартирных домов»</t>
  </si>
  <si>
    <t>Мероприятие 1.01 «Разработка проекта генерального плана г. Северодвинска»</t>
  </si>
  <si>
    <t>Административное мероприятие 2.03 «Подготовка проектов постановлений Администрации Северодвинска о предоставлении жилых помещений детям-сиротам, детям, оставшимся без попечения родителей, и лицам из их числа»</t>
  </si>
  <si>
    <t>Показатель 1  «Количество кадастровых паспортов»</t>
  </si>
  <si>
    <t>Мероприятие 1.09 «Проектирование и строительство инженерных сетей»</t>
  </si>
  <si>
    <t>Показатель 3 «Количество контрактов на выполнение работ по корректировке проектной документации»</t>
  </si>
  <si>
    <t>Показатель 2  «Площадь установленного каркасно-тентового сооружения»</t>
  </si>
  <si>
    <t>Показатель 1 «Протяженность установленной шпунтовой стенки»</t>
  </si>
  <si>
    <t>Показатель 3  «Строительный объем введенного в эксплуатацию сооружения»</t>
  </si>
  <si>
    <t>Показатель 1 «Протяженность сетей хозяйственно-бытовой канализации»</t>
  </si>
  <si>
    <t>Мероприятие 2.03 «Выполнение мероприятий по переселению собственников жилых помещений из аварийного жилищного фонда в рамках программы переселения»</t>
  </si>
  <si>
    <t>Показатель 2 «Количество соглашений об изъятии недвижимого имущества, прошедших процедуру нотариального удостоверения»</t>
  </si>
  <si>
    <t>Показатель 3 «Количество контрактов на оценку рыночной стоимости недвижимого имущества»</t>
  </si>
  <si>
    <t>Мероприятие 1.10 «Обеспечение территории комплексной жилой застройки объектами инженерной инфраструктуры»</t>
  </si>
  <si>
    <t>Показатель 1 «Доля градостроительных кварталов, в отношении которых требуется подготовка проектов планировки и межевания»</t>
  </si>
  <si>
    <t>кв. м/га</t>
  </si>
  <si>
    <t>Показатель 1 задачи 2 - доля жилых помещений, выкупаемых у собственников в рамках программы переселения, в общей  площади аварийного жилищного фонда</t>
  </si>
  <si>
    <t>Отношение площади жилых помещений, выкупаемых у собственников в рамках программы переселения, к общей  площади аварийного жилищного фонда,  умноженное на 100</t>
  </si>
  <si>
    <t>м</t>
  </si>
  <si>
    <t>- общая  площадь аварийного жилищного фонда, кв.м</t>
  </si>
  <si>
    <t>Показатель 1 «Доля жилых помещений, выкупаемых у собственников в рамках программы переселения, в общей  площади аварийного жилищного фонда»</t>
  </si>
  <si>
    <t>Количество общей площади, приходящейся на 1 га жилой территории</t>
  </si>
  <si>
    <t>Годы реализации муниципальной программы</t>
  </si>
  <si>
    <t>10</t>
  </si>
  <si>
    <t>нет</t>
  </si>
  <si>
    <t>Мероприятие 1.06 «Строительство берегоукрепительных сооружений набережной реки Кудьма в городе Северодвинске (I очереди I этапа берегоукрепительных сооружений)»</t>
  </si>
  <si>
    <t xml:space="preserve">Мероприятие 1.08 «Строительство объекта «Канализационный самотечный коллектор на пр. Беломорском в г. Северодвинске Архангельской области»                               </t>
  </si>
  <si>
    <t xml:space="preserve">пог. м </t>
  </si>
  <si>
    <t>Отношение длины всей дорожной сети Северодвинска к площади территории Северодвинска, умноженное на 100</t>
  </si>
  <si>
    <t>х</t>
  </si>
  <si>
    <t>Показатель 2 «Количество контрактов на проведение строительного контроля»</t>
  </si>
  <si>
    <t>N - норматив обеспеченности спортивными плоскостными сооружениями на 10тыс. человек населения (19,5 тыс. кв.км.)</t>
  </si>
  <si>
    <t>Показатель 1 «Количество проектов планировки территорий кварталов»</t>
  </si>
  <si>
    <t>Показатель 1 «Общая площадь введенных в эксплуатацию жилых помещений,  приходящаяся в среднем на одного жителя (в год)»</t>
  </si>
  <si>
    <t>Показатель 1  «Количество благоустроенных участков на территории катка»</t>
  </si>
  <si>
    <t>Характеристика муниципальной программы Северодвинска</t>
  </si>
  <si>
    <t>Мероприятие 1.04 «Предоставление социальных выплат молодым семьям (реализация выданных свидетельств в установленный законодательством срок)»</t>
  </si>
  <si>
    <t>Показатель 1 «Количество комплектов проектной документации»</t>
  </si>
  <si>
    <t>Показатель 1 «Площадь асфальтобетонного покрытия проезжей части»</t>
  </si>
  <si>
    <t>УМЖФ</t>
  </si>
  <si>
    <t>Показатель 2 задачи 2 - доля жителей Северодвинска, переселенных из аварийного жилищного фонда, в общей численности населения, проживающего в аварийном и непригодном для проживания жилищном фонде</t>
  </si>
  <si>
    <t>Показатель 2 «Общая площадь жилищного фонда муниципального образования «Северодвинск» в расчете на одного жителя Северодвинска»</t>
  </si>
  <si>
    <t>Показатель 1 «Общая площадь введенных в эксплуатацию жилых помещений
в рамках реализации программы переселения граждан из аварийного жилищного фонда, в расчете на одного жителя Северодвинска»</t>
  </si>
  <si>
    <t>Показатель 4 «Доля семей, улучшивших жилищные условия 
в отчетном году, в общей численности населения, состоящего на учете 
в качестве нуждающегося в жилых помещениях»</t>
  </si>
  <si>
    <t>Показатель 2 «Доля площади жилых помещений, введенных 
в действие за год, в рамках реализации программы переселения 
в годовом объеме ввода жилья в Северодвинске»</t>
  </si>
  <si>
    <t>Показатель 2 «Мощность введенных 
в эксплуатацию многоквартирных домов в отчетном году»</t>
  </si>
  <si>
    <t>Показатель 3 «Количество многоквартирных домов с переходящим сроком ввода 
в эксплуатацию»</t>
  </si>
  <si>
    <t>Показатель 2 «Доля жителей Северодвинска, переселенных из аварийного жилищного фонда, в общей численности населения, проживающего в аварийном 
и непригодном для проживания жилищном фонде»</t>
  </si>
  <si>
    <t xml:space="preserve">Мероприятие 1.01 «Строительство автомобильной дороги к селу Нёнокса 
от автодороги «Северодвинск – Онега» </t>
  </si>
  <si>
    <t>Показатель 3 «Протяженность участка дороги, на котором выполнены работы 
в соответствии с контрактом»</t>
  </si>
  <si>
    <t>Мероприятие 1.02 «Реконструкция проспекта Морского от ул. Малая Кудьма 
до проспекта Победы г. Северодвинск»</t>
  </si>
  <si>
    <t>Мероприятие 1.04 «Строительство дороги по продлению проспекта Морского 
от проспекта Победы до пересечения с Солзенским шоссе в г. Северодвинске»</t>
  </si>
  <si>
    <t>Мероприятие 1.05 «Реконструкция автомобильной дороги по Банному переулку 
с устройством ливневой канализации в городе Северодвинске»</t>
  </si>
  <si>
    <t>Мероприятие 1.21 «Строительство окружной дороги (соединение ул. Окружной 
с ул. Юбилейной) в г. Северодвинске»</t>
  </si>
  <si>
    <t>Показатель 4 «Количество приобретенного спортивного оборудования 
и инвентаря»</t>
  </si>
  <si>
    <t>Административное мероприятие 2.03 «Подготовка и выдача разрешений 
на отклонение от предельных параметров разрешенного строительства, реконструкции объектов капитального строительства»</t>
  </si>
  <si>
    <t>Показатель 1 «Количество рассмотренных обращений о выдаче разрешений 
на отклонение от предельных параметров разрешенного строительства, реконструкции объектов капитального строительства (в год)»</t>
  </si>
  <si>
    <t>Административное мероприятие 2.04 «Подготовка и выдача разрешений 
на строительство объектов капитального строительства»</t>
  </si>
  <si>
    <t>Административное мероприятие 2.06 «Подготовка и выдача разрешений на ввод 
в эксплуатацию объектов капитального строительства»</t>
  </si>
  <si>
    <t>Административное мероприятие 2.08 «Рассмотрение предложений физических 
и юридических лиц о подготовке документации по планировке территории»</t>
  </si>
  <si>
    <t>Административное мероприятие 2.09 «Рассмотрение предложений физических 
и юридических лиц о внесении изменений в генеральный план Северодвинска»</t>
  </si>
  <si>
    <t>Показатель 1 «Количество выданных разрешений на условно разрешенный вид использования земельных участков или объектов капитального строительства 
(в год)»</t>
  </si>
  <si>
    <t>Административное мероприятие 2.11 «Подготовка и выдача разрешения 
на установку и эксплуатацию рекламных конструкций»</t>
  </si>
  <si>
    <t xml:space="preserve">Административное  мероприятие 1.02 «Формирование списка претендентов 
на получение социальных выплат» </t>
  </si>
  <si>
    <t xml:space="preserve">Показатель 1 «Количество молодых семей, улучшивших жилищные условия 
с помощью социальных выплат в рамках текущего финансового года» </t>
  </si>
  <si>
    <t>1. Обеспечение деятельности ответственного исполнителя – Управления градостроительства и земельных отношений Администрации Северодвинска</t>
  </si>
  <si>
    <t>Показатель 1 «Доля граждан, получающих субсидии на оплату жилого помещения 
и коммунальных услуг, от общего числа жителей Северодвинска»</t>
  </si>
  <si>
    <t xml:space="preserve">Мероприятие 1.01 «Предоставление гражданам   субсидий  на  строительство 
и приобретение жилья» </t>
  </si>
  <si>
    <t>Показатель 1 «Количество исполненных решений суда о переселении граждан 
из ветхого и аварийного жилищного фонда»</t>
  </si>
  <si>
    <t xml:space="preserve">Мероприятие 1.04 «Выкуп имущества, расположенного  по ул. Юбилейной, д. 25, 
в целях использования под маневренный фонд» </t>
  </si>
  <si>
    <t>строительства Северодвинска»,</t>
  </si>
  <si>
    <t>«Развитие жилищного строительства Северодвинска»</t>
  </si>
  <si>
    <t>Муниципальная программа «Развитие жилищного строительства Северодвинска»</t>
  </si>
  <si>
    <t>Показатель 2  «Количество актов по обследованию объекта»</t>
  </si>
  <si>
    <t>Мероприятие 1.07 «Реконструкция моста через Никольское устье Северной Двины в г. Северодвинске»</t>
  </si>
  <si>
    <t>Показатель 2 «Уровень обеспеченности населения спортивными плоскостными сооружениями, исходя из их единовременной пропускной способности, в % 
от установленного норматива»</t>
  </si>
  <si>
    <t>Показатель 1  «Количество контрактов на приобретение технологического оборудования, выполнение работ для крытого катка с искусственным льдом ФОК «Звездочка»</t>
  </si>
  <si>
    <t>Административное мероприятие 2.13 «Присвоение объекту адресации адреса 
или аннулирование адреса»</t>
  </si>
  <si>
    <t>Показатель 1 «Количество комплектов технической документации, направленных 
в Управление муниципального заказа Администрации Северодвинска, 
для осуществления закупки работ по выносу радиотрансляционной линии (телефонии) с подлежащих сносу аварийных многоквартирных домов»</t>
  </si>
  <si>
    <t>Показатель 2 «Количество комплектов технической документации, направленных 
в Управление муниципального заказа Администрации Северодвинска,  
для осуществления закупки работ по разборке (сносу) аварийных многоквартирных домов»</t>
  </si>
  <si>
    <t>Цель 1 «Повышение доступности жилья и качества жилищного обеспечения 
для населения муниципального образования «Северодвинск»</t>
  </si>
  <si>
    <t>Административное мероприятие 2.02 «Подготовка технической документации 
для осуществления конкурсных процедур по разборке (сносу) аварийных   многоквартирных домов в рамках программы переселения из аварийного жилищного фонда»</t>
  </si>
  <si>
    <t>Наименование целевого показателя</t>
  </si>
  <si>
    <t>Расчет показателей</t>
  </si>
  <si>
    <t>Значения целевых показателей</t>
  </si>
  <si>
    <t>Базовый</t>
  </si>
  <si>
    <t>2015 год</t>
  </si>
  <si>
    <t>год</t>
  </si>
  <si>
    <t>Годовой объем ввода жилья в Северодвинске, кв. м.</t>
  </si>
  <si>
    <t>- среднегодовая численности населения, человек</t>
  </si>
  <si>
    <t>- общая площадь жилых помещений в аварийных домах, кв.м</t>
  </si>
  <si>
    <t>70499,4</t>
  </si>
  <si>
    <t>4 917 020,3</t>
  </si>
  <si>
    <t>822</t>
  </si>
  <si>
    <t>– количество населенных пунктов муниципального образования «Северодвинск», единиц.</t>
  </si>
  <si>
    <t>12</t>
  </si>
  <si>
    <t>– количество генеральных планов населенных пунктов, единиц.</t>
  </si>
  <si>
    <t>кв. м.</t>
  </si>
  <si>
    <t>- протяженность дорог, км.</t>
  </si>
  <si>
    <t>- протяженность дорог, построенных за год, км.</t>
  </si>
  <si>
    <t>Показатель 2 задачи 1 – обеспеченность территории муниципального образования «Северодвинск» муниципальными инженерными сетями</t>
  </si>
  <si>
    <t>– протяженность муниципальных инженерных сетей, км</t>
  </si>
  <si>
    <t>626,325</t>
  </si>
  <si>
    <t>Мероприятие 2.02 «Предоставление жилых помещений детям-сиротам, детям, оставшимся без попечения родителей, и лицам из их числа»</t>
  </si>
  <si>
    <t>Показатель 1 задачи 1 – доля градостроительных кварталов, в отношении которых требуется подготовка проектов планировки и межевания</t>
  </si>
  <si>
    <t>Отношение количества кварталов, в отношении которых требуется подготовка проектов планировки и межевания к общему количеству кварталов муниципального образования «Северодвинск», умноженное на 100</t>
  </si>
  <si>
    <t>51</t>
  </si>
  <si>
    <t>212</t>
  </si>
  <si>
    <t>- площадь территории муниципального образования «Северодвинск», га</t>
  </si>
  <si>
    <t xml:space="preserve"> – площадь земельных участков, предоставленных для строительства в год, га</t>
  </si>
  <si>
    <t>Показатель 1  «Количество инвестиционных проектов, по которым выполнено обоснование»</t>
  </si>
  <si>
    <t>Показатель 1 «Объем земляных работ с устройством насыпи»</t>
  </si>
  <si>
    <t>Отношение фактической общей площади спортивных плоскостных сооружений муниципального образования «Северодвинск» к нормативной, умноженное на 100</t>
  </si>
  <si>
    <t>– фактическая общая площадь спортивных плоскостных сооружений муниципального образования «Северодвинск», тыс. кв. м</t>
  </si>
  <si>
    <t>– нормативная площадь спортивных плоскостных сооружений муниципального образования «Северодвинск», тыс. кв. м</t>
  </si>
  <si>
    <t>S = N x (C/10000), где:
S - нормативная площадь спортивных плоскостных сооружений муниципального образования «Северодвинск» , тыс. кв. м</t>
  </si>
  <si>
    <t>– количество молодых семей, получивших социальные выплаты, единиц</t>
  </si>
  <si>
    <t>Отношение объема средств областного бюджета, выделенных на реализацию подпрограммы муниципальному образованию «Северодвинск» к объему средств областного бюджета, выделенных на реализацию подпрограммы муниципальным образованиям Архангельской области, умноженное на 100</t>
  </si>
  <si>
    <t>- среднегодовая численности населения, человек</t>
  </si>
  <si>
    <t>–объем средств областного бюджета, выделенных на реализацию подпрограммы муниципальным образованиям Архангельской области, руб.</t>
  </si>
  <si>
    <t xml:space="preserve"> – объем средств областного бюджета, выделенных на реализацию подпрограммы муниципальному образованию «Северодвинск», руб.</t>
  </si>
  <si>
    <t>Показатель 1 задачи 1 – доля граждан, получающих субсидии на оплату жилого помещения и коммунальных услуг, от общего числа жителей Северодвинска</t>
  </si>
  <si>
    <t>Отношение количества граждан, получивших субсидии к среднегодовой численности населения Северодвинска, умноженное на 100</t>
  </si>
  <si>
    <t>Отношение протяженности муниципальных инженерных сетей к площади территории муниципального образования «Северодвинск», умноженное на 100</t>
  </si>
  <si>
    <t>– количество граждан, получивших субсидии, человек</t>
  </si>
  <si>
    <t>– количество семей, получивших субсидии на строительство и приобретение жилья, единиц</t>
  </si>
  <si>
    <t xml:space="preserve">Строительство «Автозимника к селу Ненокса от автодороги «Северодвинск-Онега» </t>
  </si>
  <si>
    <t>Реконструкция проспекта Победы на участке от ул. Кирилкина до пр. Морской г. Северодвинск</t>
  </si>
  <si>
    <t>Строительство дороги по продлению проспекта Морского от проспекта Победы до пересечения с Солзенским шоссе в г. Северодвинске</t>
  </si>
  <si>
    <t>Реконструкция автомобильной дороги по Банному переулку с устройством ливневой канализации в городе Северодвинске</t>
  </si>
  <si>
    <t>Строительство берегоукрепительных сооружений набережной реки Кудьма в городе Северодвинске (I очереди I этапа берегоукрепительных сооружений)</t>
  </si>
  <si>
    <t>Реконструкция моста через Никольское устье Северной Двины в г. Северодвинске</t>
  </si>
  <si>
    <t xml:space="preserve">Строительство объекта «Канализационный самотечный коллектор на пр. Беломорском в г. Северодвинске Архангельской области                       </t>
  </si>
  <si>
    <t>Проектирование и строительство ливневой канализации вдоль улицы Портовой на участке от Архангельского шоссе до ул. Первомайской в городе Северодвинске Архангельской области</t>
  </si>
  <si>
    <t>Реконструкция дороги по ул. Окружной в г. Северодвинске (участок от ул. Коммунальной до путепровода)</t>
  </si>
  <si>
    <t>– количество граждан, состоящих на учете и имеющих право на получение государственных жилищных сертификатов, человек.</t>
  </si>
  <si>
    <t>Отношение количества детей-сирот, детей, оставшихся без попечения родителей, и лиц из их числа, обеспеченных жилыми помещениями к нуждающимся лицам данной категории, умноженное на 100</t>
  </si>
  <si>
    <t>- количество детей-сирот, детей, оставшихся без попечения родителей, и лиц из их числа, обеспеченных жилыми помещениями, человек</t>
  </si>
  <si>
    <t>- количество детей-сирот, детей, оставшихся без попечения родителей, и лиц из их числа, нуждающихся в жилых помещениях, человек</t>
  </si>
  <si>
    <t>137</t>
  </si>
  <si>
    <t>Показатель 3 цели –доля ветхих и аварийных многоквартирных домов в муниципальном образовании «Северодвинск»</t>
  </si>
  <si>
    <t>Показатель 1 цели –годовой объем ввода жилья</t>
  </si>
  <si>
    <t>УСиА</t>
  </si>
  <si>
    <t>КЖКХ</t>
  </si>
  <si>
    <t>УЭ</t>
  </si>
  <si>
    <t>Отношение общей площади жилых помещений аварийных домов к общей площади жилых помещений в муниципальном образовании «Северодвинск», умноженное на 100</t>
  </si>
  <si>
    <t>УСиА, КУМИЗО</t>
  </si>
  <si>
    <t>Отношение количества генеральных планов населенных пунктов муниципального образования «Северодвинск» к количеству населенных пунктов муниципального образования, умноженное на 100</t>
  </si>
  <si>
    <t>КУМИЗО</t>
  </si>
  <si>
    <t>C - численность населения региона (района, города)</t>
  </si>
  <si>
    <t>Административное мероприятие 2.01 «Выдача государственных жилищных сертификатов  гражданам, относящимся к категориям, установленным федеральным законодательством»</t>
  </si>
  <si>
    <t>Задача 1 «Развитие инженерной инфраструктуры»</t>
  </si>
  <si>
    <t>га</t>
  </si>
  <si>
    <t>федеральный бюджет</t>
  </si>
  <si>
    <t>Показатель 3  «Площадь  территории, на которой выполнено устройство асфальтобетонного покрытия»</t>
  </si>
  <si>
    <t>тыс. кв. м</t>
  </si>
  <si>
    <t>Показатель 2  «Количество договоров о технологическом присоединении»</t>
  </si>
  <si>
    <t>Показатель 2 «Количество утвержденных проектов планировки и проектов межевания территории для строительства объекта»</t>
  </si>
  <si>
    <t>Показатель 2 «Количество комплектов проектной документации»</t>
  </si>
  <si>
    <t>Показатель 2  «Количество корректировок проектной документации»</t>
  </si>
  <si>
    <t>Показатель 1 «Высота введенного в эксплуатацию сооружения»</t>
  </si>
  <si>
    <t>Показатель 2 «Объем введенного в эксплуатацию здания»</t>
  </si>
  <si>
    <t>Показатель 3 «Количество приобретенной мебели»</t>
  </si>
  <si>
    <t>областной бюджет</t>
  </si>
  <si>
    <t>местный бюджет</t>
  </si>
  <si>
    <t>Показатель 1 «Выкупленная площадь многоквартирного дома (нарастающим итогом)»</t>
  </si>
  <si>
    <t>Показатель 1 «Количество документов»</t>
  </si>
  <si>
    <t>Реконструкция берегоукрепительных сооружений на о. Ягры в г. Северодвинске (1 этап)</t>
  </si>
  <si>
    <t>Завершение строительства мостового перехода через реку Малая Кудьма на Солзенском шоссе в г. Северодвинске Архангельской области</t>
  </si>
  <si>
    <t>– объем средств федерального бюджета, выделенных на реализацию программы муниципальным образованиям Архангельской области, тыс. руб.</t>
  </si>
  <si>
    <t>Отношение объема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к объему средств федерального бюджета, выделенных муниципальным образованиям Архангельской области на обеспечение жильем молодых семей, умноженное на 100</t>
  </si>
  <si>
    <t>– объем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тыс. руб.</t>
  </si>
  <si>
    <t>Показатель 1 задачи 1 – доля средств федерального бюджета, выделенных муниципальному образованию «Северодвинск» в рамках  государственной программы Российской Федерации «Обеспечение доступным и комфортным жильем и коммунальными услугами граждан Российской Федерации», (в процентах от общего объема средств федерального бюджета, выделенных муниципальным образованиям Архангельской области)</t>
  </si>
  <si>
    <t>Мероприятие 1.02 «Подготовка  проектов планировки и проектов межевания территорий кварталов с проведением инженерно-геологических изысканий»</t>
  </si>
  <si>
    <t>- число объектов социальной сферы (ед.), в том числе:</t>
  </si>
  <si>
    <t>закрепленных по ведомственной принадлежности за отделом физической культуры и спорта</t>
  </si>
  <si>
    <t>закрепленных по ведомственной принадлежности за Управлением образования Администрации Северодвинска</t>
  </si>
  <si>
    <t>закрепленных по ведомственной принадлежности за Управлением культуры и общественных связей Администрации Северодвинска</t>
  </si>
  <si>
    <t>Показатель 1 «Протяженность наружных сетей электроснабжения»</t>
  </si>
  <si>
    <t>Показатель 1 «Протяженность ливневого коллектора»</t>
  </si>
  <si>
    <t>Мероприятие 1.15 «Строительство ливневого коллектора по ул. Ломоносова»</t>
  </si>
  <si>
    <t>Количество реализованных инвестиционных проектов, направленных на развитие инженерной инфраструктуры (нарастающим итогом), ед</t>
  </si>
  <si>
    <t>Показатель 1 «Количество  нормативно-правовых актов»</t>
  </si>
  <si>
    <t>да/нет</t>
  </si>
  <si>
    <t>Программа</t>
  </si>
  <si>
    <t>Подпрограмма</t>
  </si>
  <si>
    <t>Цель программы</t>
  </si>
  <si>
    <t>Задача подпрограммы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</si>
  <si>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</si>
  <si>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</si>
  <si>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Значение</t>
  </si>
  <si>
    <t>Год достижения</t>
  </si>
  <si>
    <t>Целевое (суммарное) значение показателя</t>
  </si>
  <si>
    <t>кв. м</t>
  </si>
  <si>
    <t>тыс. руб.</t>
  </si>
  <si>
    <t>ед.</t>
  </si>
  <si>
    <t>%</t>
  </si>
  <si>
    <t>да</t>
  </si>
  <si>
    <t xml:space="preserve">кв. м </t>
  </si>
  <si>
    <t xml:space="preserve">% </t>
  </si>
  <si>
    <t>Показатель 1 «Годовой объем ввода жилья»</t>
  </si>
  <si>
    <t>Задача 2 «Развитие социальной инфраструктуры»</t>
  </si>
  <si>
    <t>Задача  1 «Повышение доступности  жилья для молодых семей»</t>
  </si>
  <si>
    <t>Задача 1 «Обеспечение финансовой поддержкой жителей Северодвинска»</t>
  </si>
  <si>
    <t>Задача  2 «Выполнение государственных обязательств по обеспечению жильем  категорий граждан, установленных федеральным законодательством»</t>
  </si>
  <si>
    <t>Показатель 1 «Количество граждан, получивших субсидии на оплату жилого помещения и коммунальных услуг»</t>
  </si>
  <si>
    <t>Показатель 3  «Площадь благоустроенной территории, на которой выполнено устройство асфальтобетонного покрытия»</t>
  </si>
  <si>
    <t>Отношение численности детей, охваченных образовательными программами дошкольного образования к нормативному количеству мест в дошкольных образовательных организациях</t>
  </si>
  <si>
    <t>Отношение общей площади жилищного фонда муниципального образования "Северодвинск" к среднегодовой численности населения Северодвинска</t>
  </si>
  <si>
    <t>– общая площадь жилищного фонда муниципального образования "Северодвинск", кв. м</t>
  </si>
  <si>
    <t>- численность населения проживающего в аварийном и непригодном для проживания жилищном фонде, человек</t>
  </si>
  <si>
    <t>Показатель 1 задачи 2  - уровень наполняемости детских дошкольных учреждений</t>
  </si>
  <si>
    <t>Показатель 2 цели – общая площадь жилищного фонда муниципального образования "Северодвинск", в расчете на одного жителя Северодвинска</t>
  </si>
  <si>
    <t>Показатель 1 «Уровень наполняемости детских дошкольных учреждений»</t>
  </si>
  <si>
    <t>в том числе:</t>
  </si>
  <si>
    <t>- количество семей, проживающих в ветхом и аварийном жилищном фонде, улучшивших жилищные условия в отчетном году</t>
  </si>
  <si>
    <r>
      <t>Отношение количества семей, улучшивших жилищные условия в отчетном году к количеству семей,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состоящих на учете в качестве нуждающихся в жилых помещениях, умноженное на 100.</t>
    </r>
  </si>
  <si>
    <t>Количество семей, улучшивших жилищные условия в отчетном году, единиц</t>
  </si>
  <si>
    <t>- количество молодых семей, получивших социальные выплаты</t>
  </si>
  <si>
    <t>- количество семей, получивших субсидии на строительство и приобретение жилья</t>
  </si>
  <si>
    <t>- количество семей состоящих на учете и имеющих право на получение государственных жилищных сертификатов</t>
  </si>
  <si>
    <t>- количество семей, проживающих в ветхом и аварийном жилищном фонде, состоящих на учете в качестве нуждающихся в жилых помещениях</t>
  </si>
  <si>
    <t xml:space="preserve">- число семей, состоящих на учете для получения субсидии на строительство и приобретение жилья </t>
  </si>
  <si>
    <t>Количество семей, состоящих на учете в качестве нуждающихся в жилых помещениях, единиц</t>
  </si>
  <si>
    <t>Показатель 1 «Протяженность участка дороги, на котором выполнены подготовительные работы»</t>
  </si>
  <si>
    <t>Показатель 2 «Протяженность введенного в эксплуатацию участка дороги»</t>
  </si>
  <si>
    <t>Показатель 1 «Количество контрактов на осуществление технологического присоединения»</t>
  </si>
  <si>
    <t>– число семей, состоящих на учете для получения субсидии на строительство и приобретение жилья , единиц</t>
  </si>
  <si>
    <t xml:space="preserve">Отношение количество семей, получивших субсидии на  строительство и приобретение жилья к числу семей, состоящих на учете для получения субсидии на строительство и приобретение жилья, умноженное на 100 </t>
  </si>
  <si>
    <t>Показатель 2 задачи 1 - доля семей, получивших субсидии на строительство и приобретение жилья в отчетном году, от общего числа семей, состоящих на учете для получения субсидии</t>
  </si>
  <si>
    <t>Показатель 1 задачи 1 – общая площадь введенных в эксплуатацию жилых помещений в рамках реализации программы переселения граждан из аварийного жилищного фонда, в расчете на одного жителя Северодвинска</t>
  </si>
  <si>
    <t>Отношение общей  площади жилых помещений, введенных в действие за год, в рамках реализации программы переселения к годовому объему ввода жилья в Северодвинске, умноженное на 100</t>
  </si>
  <si>
    <t xml:space="preserve">от 08.06.2016 № 184-па             </t>
  </si>
  <si>
    <t xml:space="preserve">Отношение количества граждан, улучшивших жилищные условия путем реализации государственных жилищных сертификатов, к количеству граждан, состоящих на учете и имеющих право на получение государственных жилищных сертификатов, умноженное на 100  </t>
  </si>
  <si>
    <t>Показатель 1 «Доля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сертификатов»</t>
  </si>
  <si>
    <t>Показатель 2 «Обеспеченность  муниципального образования «Северодвинск» генеральными планами населенных пунктов»</t>
  </si>
  <si>
    <t>кв.м/ га</t>
  </si>
  <si>
    <t>Показатель 8 цели - количество реализованных инвестиционных проектов, направленных на развитие инженерной инфраструктуры</t>
  </si>
  <si>
    <t>Показатель 1 задачи 1 – плотность автомобильных дорог Северодвинска</t>
  </si>
  <si>
    <t>Показатель 8 «Количество реализованных инвестиционных проектов, направленных на развитие инженерной инфраструктуры»</t>
  </si>
  <si>
    <t>Показатель 1 «Плотность автомобильных дорог Северодвинска»</t>
  </si>
  <si>
    <t>Численность детей в возрасте от 0 до 7 лет, обеспеченных услугами дошкольного образования</t>
  </si>
  <si>
    <t>- количество детей в возрасте от 0 до 3 лет, получающих услугу дошкольного образования</t>
  </si>
  <si>
    <t>- количество детей в возрасте от 3 до 7 лет, обеспеченных услугами дошкольного образования</t>
  </si>
  <si>
    <t>Нормативное количество мест в дошкольных образовательных организациях:</t>
  </si>
  <si>
    <t>численность детей в возрасте от 0 до 7 лет, проживающих на территории Северодвинска</t>
  </si>
  <si>
    <t>Показатель 4 «Протяженность реконструированной дороги»</t>
  </si>
  <si>
    <t>Показатель 3  «Протяженность введенного в эксплуатацию коллектора»</t>
  </si>
  <si>
    <t>тыс. пог. м</t>
  </si>
  <si>
    <t>Показатель 2  «Площадь участка, на котором выполнены работы в соответствии с контрактом»</t>
  </si>
  <si>
    <t>Показатель 2 «Строительный объем введенного в эксплуатацию здания»</t>
  </si>
  <si>
    <t>тыс. куб. м</t>
  </si>
  <si>
    <t>Показатель 4 «Площадь введенного в эксплуатацию здания»</t>
  </si>
  <si>
    <t>- численность жителей Северодвинска, переселенных из аварийного жилищного фонда, человек</t>
  </si>
  <si>
    <t>– площадь жилых помещений, выкупаемых у собственников в рамках программы переселения, кв. м</t>
  </si>
  <si>
    <t>норматив количества мест в образовательных организациях в расчете на 100 детей в возрасте от 0 до 7 лет (Методическими рекомендациями по развитию сети образовательных организаций и обеспеченности населения услугами таких организаций, включающие требования по размещению организаций сферы образования, в том числе в сельской местности, исходя из норм действующего законодательства Российской Федерации, с учетом возрастного состава и плотности населения, транспортной инфраструктуры и других факторов, влияющих на доступность и обеспеченность населения услугами сферы образования", утв. Минобрнауки России 04.05.2016 N АК-15/02вн)</t>
  </si>
  <si>
    <t>Задача 1 «Оптимизация системы территориального планирования муниципального образования «Северодвинск»</t>
  </si>
  <si>
    <t>Показатель 1 «Количество списков»</t>
  </si>
  <si>
    <t>чел.</t>
  </si>
  <si>
    <t>% в год</t>
  </si>
  <si>
    <t>Источник финансирования*</t>
  </si>
  <si>
    <t>Мероприятие (подпрограммы или административное)</t>
  </si>
  <si>
    <t>Аналитический код</t>
  </si>
  <si>
    <t>G</t>
  </si>
  <si>
    <t>Приложение № 4</t>
  </si>
  <si>
    <t>к муниципальной программе «Развитие жилищного</t>
  </si>
  <si>
    <t>Фонд содействия реформированию ЖКХ</t>
  </si>
  <si>
    <t>Отношение количества жителей Северодвинска, переселенных из аварийного жилищного фонда, к общей численности населения, проживающего в аварийном и непригодном для проживания жилищном фонде, умноженное на 100</t>
  </si>
  <si>
    <t>Мероприятие 2.01 «Выплата возмещения лицам, являющимся собственниками жилых помещений, расположенных в аварийных многоквартирных домах»</t>
  </si>
  <si>
    <t>Показатель 1 задачи 2 - доля граждан, улучшивших жилищные условия путем реализации государственных жилищных сертификатов в отчетном году, от числа граждан, состоящих на учете и имеющих право на получение государственных жилищных сертификатов</t>
  </si>
  <si>
    <t>Показатель 6 «Плотность жилого фонда»</t>
  </si>
  <si>
    <t>Показатель 3 «Протяженность введенного в эксплуатацию коллектора»</t>
  </si>
  <si>
    <t>Показатель 7 «Число объектов социальной сферы в расчете на 10 тыс. человек населения»</t>
  </si>
  <si>
    <t>Показатель 4 цели – доля семей, улучшивших жилищные условия в отчетном году, в общей численности населения, состоящего на учете в качестве нуждающегося в жилых помещениях</t>
  </si>
  <si>
    <t>Показатель 6 цели  – плотность жилого фонда</t>
  </si>
  <si>
    <t>Показатель 7 цели  - число объектов социальной сферы в расчете на 10 тыс. человек населения</t>
  </si>
  <si>
    <t>Показатель 2 задачи 2 - доля детей-сирот, детей, оставшихся без попечения родителей, и лиц из их числа, обеспеченных жилыми помещениями, от нуждающихся (в год)</t>
  </si>
  <si>
    <t xml:space="preserve">Ответственный исполнитель: Управление строительства и архитектуры Администрации Северодвинска, </t>
  </si>
  <si>
    <t>Соисполнители: Управление муниципального жилищного фонда Администрации Северодвинска,
Комитет по управлению муниципальным имуществом и земельным отношениям Администрации Северодвинска,
Комитет ЖКХ, транспорта и связи Администрации Северодвинска</t>
  </si>
  <si>
    <t>- количество семей получивших государственные жилищные сертификаты</t>
  </si>
  <si>
    <t>- количество молодых семей, нуждающихся в улучшении жилищных условий</t>
  </si>
  <si>
    <t>Показатель 5 цели – доля «молодых семей», получивших социальные выплаты (от общего количества «молодых семей», нуждающихся в улучшении жилищных условий)</t>
  </si>
  <si>
    <t>Отношение количества молодых семей, получивших социальные выплаты к количеству молодых семей, нуждающихся в улучшении жилищных условий, умноженное на 100.</t>
  </si>
  <si>
    <t>– количество молодых семей, нуждающихся в улучшении жилищных условий, единиц</t>
  </si>
  <si>
    <t>Отношение общей площади жилых помещений, введенной в действие за год, в рамках реализации программы переселения граждан из аварийного жилищного фонда к среднегодовой численности населения Северодвинска</t>
  </si>
  <si>
    <t>- общая  площадь жилых помещений, введенная в действие за год, в рамках реализации программы переселения граждан из аварийного жилищного фонда, кв. м.</t>
  </si>
  <si>
    <t>- общая  площадь жилых помещений, введенной в действие за год, для реализации программы переселения, кв. м.</t>
  </si>
  <si>
    <t>Показатель 2 задачи 2 – уровень обеспеченности населения спортивными плоскостными сооружениями, исходя из их единовременной пропускной способности в % от установленного норматива</t>
  </si>
  <si>
    <t>Показатель 2 задачи 1– обеспеченность муниципального образования «Северодвинск» генеральными планами населенных пунктов</t>
  </si>
  <si>
    <t>Отношение общей площади жилых помещений, введенной в действие за год, к среднегодовой численности населения Северодвинска</t>
  </si>
  <si>
    <t>- общая  площадь жилых помещений, введенная в действие за год, кв. м.</t>
  </si>
  <si>
    <t>- среднегодовая численность населения, человек</t>
  </si>
  <si>
    <r>
      <t>км/км</t>
    </r>
    <r>
      <rPr>
        <vertAlign val="superscript"/>
        <sz val="11"/>
        <rFont val="Times New Roman"/>
        <family val="1"/>
        <charset val="204"/>
      </rPr>
      <t>2</t>
    </r>
  </si>
  <si>
    <t>Мероприятие 2.10  «Проектирование и строительство объекта «Фекальная канализационная сеть здания МБУ ДО «Детская музыкальная школа № 3»</t>
  </si>
  <si>
    <t>Показатель 1  «Протяженность введенного в эксплуатацию мостового перехода»</t>
  </si>
  <si>
    <t>Показатель 2 «Количество контрактов на корректировку проектной документации»</t>
  </si>
  <si>
    <t>Показатель 3 «Протяженность введенного в эксплуатацию участка набережной»</t>
  </si>
  <si>
    <t>Показатель 2 «Строительный объем объекта, введенного в эксплуатацию»</t>
  </si>
  <si>
    <t>1 – федеральный бюджет; 2 – областной бюджет; 3 – местный бюджет; 4 – внебюджетные источники; 5 – государственные фонды.</t>
  </si>
  <si>
    <t>* – указана классификация источников финансирования:</t>
  </si>
  <si>
    <t>Показатель 2 задачи 2 – площадь земельных участков, предоставленных для строительства в год в расчете на 10 тыс. чел. населения</t>
  </si>
  <si>
    <t>Расчет целевых показателей муниципальной программы 
«Развитие жилищного строительства Северодвинска на 2016 – 2021 годы»</t>
  </si>
  <si>
    <t xml:space="preserve">Показатель 2 «Количество муниципальных контрактов с переходящим сроком подключения объектов» </t>
  </si>
  <si>
    <t>Мероприятие 2.02 «Завершение строительства крытого катка с искусственным льдом ФОК «Звездочка»</t>
  </si>
  <si>
    <t>Мероприятие 2.03 «Приобретение технологического оборудования для крытого катка с искусственным льдом ФОК «Звездочка»</t>
  </si>
  <si>
    <t>Мероприятие 2.12 «Строительство тренажера для спортивного скалолазания (скалодрома) в г. Северодвинске»</t>
  </si>
  <si>
    <t>Мероприятие 2.04 «Технологическое присоединение к инженерным сетям объектов социальной инфраструктуры»</t>
  </si>
  <si>
    <t>Мероприятие 2.06 «Проектирование и строительство здания фондохранилища МБУК «Северодвинский городской краеведческий музей»</t>
  </si>
  <si>
    <t>Мероприятие 1.13 «Реконструкция дороги по ул. Окружной в г. Северодвинске (участок от ул. Коммунальной до путепровода)»</t>
  </si>
  <si>
    <t>Мероприятие 1.12 «Выполнение кадастровых работ по объектам незавершенного строительства»</t>
  </si>
  <si>
    <t>Показатель 1 «Площадь подготовленной территории строительства»</t>
  </si>
  <si>
    <t>Показатель 2  «Количество контрактов на оказание услуг по строительному контролю и авторскому надзору»</t>
  </si>
  <si>
    <t xml:space="preserve">Показатель 2 задачи 1 – доля площади жилых помещений, введенных в действие за год, в рамках реализации программы переселения в годовом объеме ввода жилья в Северодвинске </t>
  </si>
  <si>
    <t xml:space="preserve"> – количество граждан получивших государственные жилищные сертификаты, человек</t>
  </si>
  <si>
    <t>– количество кварталов г. Северодвинска, в отношении которых требуется подготовка проектов планировки и межевания , единиц</t>
  </si>
  <si>
    <t>– общее количество кварталов г. Северодвинска, единиц</t>
  </si>
  <si>
    <t>Показатель 2 «Количество корректировок проектной документации»</t>
  </si>
  <si>
    <t>Показатель 3 «Количество контрактов на проведение строительного контроля»</t>
  </si>
  <si>
    <t>пог. м</t>
  </si>
  <si>
    <t>км</t>
  </si>
  <si>
    <t>шт.</t>
  </si>
  <si>
    <t>Мероприятие 2.01 «Строительство каркасно-тентового сооружения на территории стадиона «Строитель» в городе Северодвинске Архангельской области»</t>
  </si>
  <si>
    <t>куб. м</t>
  </si>
  <si>
    <t>Показатель 3 задачи 1 – доля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</t>
  </si>
  <si>
    <t>Отношение количества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к общему количеству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состоящих на учете в Администрации Северодвинска, планируемых к исполнению в рамках подпрограммы, умноженное на 100</t>
  </si>
  <si>
    <t>Показатель 1 «Площадь отведенного участка, на котором выполнены подготовительные работы»</t>
  </si>
  <si>
    <t>- количество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 (нарастающим итогом), единиц</t>
  </si>
  <si>
    <t>- количество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проживания, планируемых к исполнению в рамках подпрограммы, единиц</t>
  </si>
  <si>
    <t>Реконструкция проспекта Морского от ул. Малая Кудьма до проспекта Победы г. Северодвинск</t>
  </si>
  <si>
    <t>Строительство ливневого коллектора по ул. Ломоносова</t>
  </si>
  <si>
    <t>ед., не менее</t>
  </si>
  <si>
    <t>Строительство коллектора ливневой канализации с установкой для очистки ливневых стоков в районе Приморского бульвара в г. Северодвинске Архангельской области</t>
  </si>
  <si>
    <t>Показатель 3 «Доля исполненных решений суда о предоставлении жилых помещений гражданам, с которыми заключены договоры социального найма жилых помещений, признанных непригодными для проживания»</t>
  </si>
  <si>
    <t>Показатель 1 «Количество корректировок проектной документации»</t>
  </si>
  <si>
    <t xml:space="preserve">Отношение общего количества объектов социальной сферы  к среднегодовой численности населения Северодвинска, умноженное на 10000 </t>
  </si>
  <si>
    <t>Показатель 1  «Количество актов о технологическом присоединении»</t>
  </si>
  <si>
    <t>Показатель 1 «Количество распоряжений о присвоении объекту адресации адреса или аннулировании его адреса (в год)»</t>
  </si>
  <si>
    <t>км/га</t>
  </si>
  <si>
    <t>- площадь территории Северодвинска, га.</t>
  </si>
  <si>
    <t>-</t>
  </si>
  <si>
    <t>Показатель 1 «Количество выданных разрешений на установку и эксплуатацию рекламных конструкций (в год)»</t>
  </si>
  <si>
    <t>Показатель 1 «Количество выданных градостроительных планов земельных участков (в год)»</t>
  </si>
  <si>
    <t>Показатель 1 «Количество выданных разрешений на ввод в эксплуатацию объектов капитального строительства (в год)»</t>
  </si>
  <si>
    <t>Показатель 1 «Количество выданных разрешений на строительство объектов капитального строительства (в год)»</t>
  </si>
  <si>
    <t>Показатель 1 «Количество выданных разрешений (ордеров) на проведение (производство) земляных работ (в год)»</t>
  </si>
  <si>
    <t>Показатель 1 задачи 2 – общая площадь введенных в эксплуатацию жилых помещений,  приходящаяся в среднем на одного жителя (в год)</t>
  </si>
  <si>
    <t>Показатель 1 «Количество проектов постановлений (в год)»</t>
  </si>
  <si>
    <t>Показатель 1  «Количество комплектов проектной документации»</t>
  </si>
  <si>
    <t>Показатель 3 «Доля ветхих и аварийных многоквартирных домов 
в муниципальном образовании «Северодвинск»</t>
  </si>
  <si>
    <t>Показатель 5 «Доля молодых семей, получивших социальные выплаты 
(от общего количества молодых семей, нуждающихся в улучшении жилищных условий)»</t>
  </si>
  <si>
    <t>Показатель 1 «Количество актов о технологическом присоединении 
к инженерным сетям в год»</t>
  </si>
  <si>
    <t>Показатель 2 «Протяженность введенного в эксплуатацию участка дороги 
в рамках реализации I этапа (две полосы движения из четырех)»</t>
  </si>
  <si>
    <t>Мероприятие 1.03 «Реконструкция проспекта Победы на участке 
от ул. Кирилкина до пр. Морской г. Северодвинск»</t>
  </si>
  <si>
    <t>Показатель 1 «Протяженность введенного в эксплуатацию участка дороги 
в рамках реализации I этапа (две полосы движения из четырех)»</t>
  </si>
  <si>
    <t>Показатель 2 «Протяженность введенного в эксплуатацию участка дороги 
в рамках реализации II этапа (две полосы движения из четырех)»</t>
  </si>
  <si>
    <t>Мероприятие 1.11 «Проектирование и строительство ливневой канализации вдоль улицы Портовой на участке от Архангельского шоссе 
до ул. Первомайской в городе Северодвинске Архангельской области»</t>
  </si>
  <si>
    <t>Мероприятие 1.14 «Строительство сетей холодного водоснабжения 
и канализации по улице Южной в городе Северодвинске Архангельской области»</t>
  </si>
  <si>
    <t>Мероприятие 1.18 «Строительство коллектора ливневой канализации 
с установкой для очистки ливневых стоков в районе Приморского бульвара 
в г. Северодвинске Архангельской области»</t>
  </si>
  <si>
    <t>Показатель 3 «Площадь территории, на которой выполнены работы 
в соответствии с контрактом»</t>
  </si>
  <si>
    <t>Показатель 1 «Площадь территории, на которой выполнены работы 
в соответствии с контрактом»</t>
  </si>
  <si>
    <t>Мероприятие 1.20 «Реконструкция Набережной Александра Зрячева в г. Северодвинске (1 этап)»</t>
  </si>
  <si>
    <t>Показатель 5 «Протяженность введенного в эксплуатацию участка дороги 
в рамках реализации II этапа (две полосы движения из четырех)»</t>
  </si>
  <si>
    <t>Показатель 4 «Протяженность переустроенной ливневой канализации»</t>
  </si>
  <si>
    <t>Показатель 5 «Протяженность переустроенных труб водоснабжения и водоотведения»</t>
  </si>
  <si>
    <t>Показатель 5 «Количество приобретенных подъемных платформ»</t>
  </si>
  <si>
    <t>Показатель 5 «Площадь земельных участков, на которых выполнены работы в соответствии с контрактом»</t>
  </si>
  <si>
    <t>Мероприятие 2.09  «Строительство физкультурно-оздоровительного комплекса с универсальным игровым залом  42*24 м в г. Северодвинске Архангельской области»</t>
  </si>
  <si>
    <t>Административное мероприятие 2.07 «Рассмотрение предложений физических и юридических лиц о внесении изменений в правила землепользования 
и застройки»</t>
  </si>
  <si>
    <t>Мероприятие 2.07 «Проектирование и строительство объекта «Детский сад 
на 280 мест в квартале 167 г. Северодвинска Архангельской области»</t>
  </si>
  <si>
    <t>Мероприятие 2.08 «Проектирование и строительство лыжной базы 
в г. Северодвинске Архангельской области»</t>
  </si>
  <si>
    <t>Мероприятие 1.19 «Строительство ливневого коллектора вдоль ул. Железнодорожной, от ул. Торцева до рефулерного озера, с устройством локальных очистных сооружений в г. Северодвинске»</t>
  </si>
  <si>
    <t>Показатель 3 «Протяженность введенного в эксплуатацию участка дороги в рамках реализации первого этапа строительства»</t>
  </si>
  <si>
    <t>Показатель 2 «Протяженность переустроенных сетей водоснабжения и канализации»</t>
  </si>
  <si>
    <t>Финансовое обеспечение мероприятий по переселению из аварийного жилищного фонда (нераспределенные расходы Фонда содействия реформированию ЖКХ в рамках реализуемых этапов программы переселения, софинансирование за счет средств областного и местного бюджетов)</t>
  </si>
  <si>
    <t>Мероприятие 1.16 «Проектирование и строительство коллектора ливневой канализации по ул. Октябрьская от выпуска по ул. Логинова до перспективных очистных сооружений по ул. Ричарда Ченслера  в г. Северодвинске»</t>
  </si>
  <si>
    <t>Соисполнители: Управление муниципального жилищного фонда Администрации Северодвинска;
Комитет по управлению муниципальным имуществом Администрации Северодвинска;
Комитет жилищно-коммунального хозяйства, транспорта и связи Администрации Северодвинска.</t>
  </si>
  <si>
    <t>Задача 3 «Обеспечение эффективного использования и распоряжения земельными ресурсами муниципального образования «Северодвинск»</t>
  </si>
  <si>
    <t>Показатель 1 «Доля площади земельных участков, предоставленных в целях жилищного строительства, в общей площади города Северодвинска»</t>
  </si>
  <si>
    <t>Показатель 2 «Доля многоквартирных домов, расположенных на земельных участках, в отношении которых осуществлен государственный кадастровый учет»</t>
  </si>
  <si>
    <t>Мероприятие 3.01 «Организация и осуществление мероприятий по землеустройству и землепользованию»</t>
  </si>
  <si>
    <t xml:space="preserve">единица </t>
  </si>
  <si>
    <t>Показатель 2 «Количество сформированных земельных участков»</t>
  </si>
  <si>
    <t>Показатель 1 «Количество выданных разрешений на размещение объекта»</t>
  </si>
  <si>
    <t>Административное мероприятие 3.03  «Предоставление земельных участков, государственная собственность на которые не разграничена, расположенных на территории муниципального образования «Северодвинск», и земельных участков, находящихся в муниципальной собственности, без проведения торгов»</t>
  </si>
  <si>
    <t>Показатель 1 «Количество земельных участков, предоставленных без проведения торгов»</t>
  </si>
  <si>
    <t>Показатель 1 «Количество земельных участков по которым произведена оценка рыночной стоимости»</t>
  </si>
  <si>
    <t>Показатель 1 «Количество договоров социального найма»</t>
  </si>
  <si>
    <t>Административное мероприятие 1.05 «Предоставление жилых помещений по договорам социального найма гражданам, сохраняющим регистрацию в снесенных домах, ранее признанных аварийными»</t>
  </si>
  <si>
    <t>постановление 214-пп</t>
  </si>
  <si>
    <t>Показатель 1 задачи 3 – доля площади земельных участков, предоставленных в целях жилищного строительства, в общей площади города Северодвинска</t>
  </si>
  <si>
    <t>Показатель 2 задачи 3 – доля многоквартирных домов, расположенных на земельных участках, в отношении которых осуществлен государственный кадастровый учет</t>
  </si>
  <si>
    <t>- площадь территории города Северодвинска, га.</t>
  </si>
  <si>
    <t>Отношение площади земельных участков, предоставленных для строительства в год, к площади территории города Северодвинска, умноженное на 100</t>
  </si>
  <si>
    <t>- количество многоквартирных домов, единиц</t>
  </si>
  <si>
    <t xml:space="preserve"> – количество многоквартирных домов, расположенных на земельных участках, в отношении которых осуществлен государственный кадастровый учет, единиц</t>
  </si>
  <si>
    <t>Отношение числа многоквартирных домов, расположенных на земельных участках, в отношении которых осуществлен государственный кадастровый учет, к общему количеству многоквартирных домов, умноженное на 100</t>
  </si>
  <si>
    <t>Показатель 2 «Доля средств областного бюджета, выделенных муниципальному образованию «Северодвинск», в рамках подпрограммы № 2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области»  (в процентах от общего объема средств областного бюджета, выделенных муниципальным образованиям Архангельской области)»</t>
  </si>
  <si>
    <t>Показатель 2 задачи 1– доля  средств областного бюджета, выделенных муниципальному образованию «Северодвинск», в рамках подпрограммы «Обеспечение жильем молодых семей» государственной программы  Архангельской области «Обеспечение качественным, доступным жильем и объектами инженерной инфраструктуры населения Архангельской области»  (в процентах от общего объема средств областного бюджета, выделенных муниципальным образованиям Архангельской области)</t>
  </si>
  <si>
    <t>Показатель 1 «Протяжённость введенных в эксплуатацию сетей ливневой канализации»</t>
  </si>
  <si>
    <t>Показатель 1  «Количество установок очистки»</t>
  </si>
  <si>
    <t>Показатель 2  «Протяженность введенных в эксплуатацию сетей ливневой канализации»</t>
  </si>
  <si>
    <t>Административное мероприятие 3.02 «Выдача разрешения на использование земель или земельных участков, которые находятся в государственной или муниципальной собственности, без предоставления земельных участков и установления сервитута, публичного сервитута для размещения объектов, виды которых устанавливаются Правительством Российской Федерации»</t>
  </si>
  <si>
    <t>Показатель 1 «Количество разработанных проектов планировки и проектов межевания территории»</t>
  </si>
  <si>
    <t>Показатель 2 «Площадь земельного участка, предоставленного для строительства объекта»</t>
  </si>
  <si>
    <t>Мероприятие 1.25 «Проектирование и строительство автомобильной стоянки по ул. Кирилкина»</t>
  </si>
  <si>
    <t>Показатель 2  «Количество машиномест»</t>
  </si>
  <si>
    <t>Мероприятие 2.14 «Реконструкция объекта «Физкультурно-оздоровительный комплекс «Дельфин» в г. Северодвинске Архангельской области»</t>
  </si>
  <si>
    <t>Показатель 2 «Площадь территории, на которой выполнены работы в соответствии с контрактом»</t>
  </si>
  <si>
    <t>Мероприятие 2.15 «Проектирование и строительство культурного-досугового учреждения в с. Нёнокса»</t>
  </si>
  <si>
    <t>Показатель 2  «Протяженность пешеходных мостов»</t>
  </si>
  <si>
    <t>Показатель 2 «Общая площадь введенного в эксплуатацию здания»</t>
  </si>
  <si>
    <t>Показатель 6 «Количество мостовых опор»</t>
  </si>
  <si>
    <t>Показатель 1 «Количество контрактов на строительство кладбища»</t>
  </si>
  <si>
    <t>Мероприятие 1.24 «Разработка проектной документации на реконструкцию моста через р. Рассоху, расположенного на автомобильной дороге «г. Северодвинск-Солза»</t>
  </si>
  <si>
    <t>2020 год: факт на 01.01.2020 4 372 703,2 + ввод 2020  - снос 2020 11 372,9</t>
  </si>
  <si>
    <t>2020 год: факт на 01.01.2020 92 603,2 - снос 2020 11 372,9 + признан. авар. 2020  8 975,4</t>
  </si>
  <si>
    <t xml:space="preserve">(в редакции от 28.12.2020 № 524-па)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</si>
</sst>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1" formatCode="_-* #,##0.00_р_._-;\-* #,##0.00_р_._-;_-* &quot;-&quot;??_р_._-;_-@_-"/>
    <numFmt numFmtId="180" formatCode="0.0"/>
    <numFmt numFmtId="181" formatCode="#,##0.0"/>
    <numFmt numFmtId="184" formatCode="#,##0.000"/>
    <numFmt numFmtId="192" formatCode="0.00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1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vertAlign val="superscript"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1" applyNumberFormat="0" applyAlignment="0" applyProtection="0"/>
    <xf numFmtId="0" fontId="19" fillId="12" borderId="2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16" borderId="0" applyNumberFormat="0" applyBorder="0" applyAlignment="0" applyProtection="0"/>
    <xf numFmtId="0" fontId="15" fillId="3" borderId="7" applyNumberFormat="0" applyFont="0" applyAlignment="0" applyProtection="0"/>
    <xf numFmtId="0" fontId="28" fillId="15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  <xf numFmtId="171" fontId="2" fillId="0" borderId="0" applyFont="0" applyFill="0" applyBorder="0" applyAlignment="0" applyProtection="0"/>
  </cellStyleXfs>
  <cellXfs count="190">
    <xf numFmtId="0" fontId="0" fillId="0" borderId="0" xfId="0"/>
    <xf numFmtId="0" fontId="3" fillId="17" borderId="10" xfId="0" applyFont="1" applyFill="1" applyBorder="1" applyAlignment="1">
      <alignment horizontal="center" vertical="center"/>
    </xf>
    <xf numFmtId="181" fontId="3" fillId="17" borderId="10" xfId="0" applyNumberFormat="1" applyFont="1" applyFill="1" applyBorder="1" applyAlignment="1">
      <alignment horizontal="center" vertical="center"/>
    </xf>
    <xf numFmtId="181" fontId="3" fillId="17" borderId="10" xfId="0" applyNumberFormat="1" applyFont="1" applyFill="1" applyBorder="1" applyAlignment="1">
      <alignment horizontal="center" vertical="center" wrapText="1"/>
    </xf>
    <xf numFmtId="2" fontId="3" fillId="17" borderId="10" xfId="0" applyNumberFormat="1" applyFont="1" applyFill="1" applyBorder="1" applyAlignment="1">
      <alignment horizontal="center" vertical="center" wrapText="1"/>
    </xf>
    <xf numFmtId="4" fontId="3" fillId="17" borderId="10" xfId="0" applyNumberFormat="1" applyFont="1" applyFill="1" applyBorder="1" applyAlignment="1">
      <alignment horizontal="center" vertical="center"/>
    </xf>
    <xf numFmtId="180" fontId="3" fillId="17" borderId="10" xfId="0" applyNumberFormat="1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3" fontId="3" fillId="17" borderId="10" xfId="0" applyNumberFormat="1" applyFont="1" applyFill="1" applyBorder="1" applyAlignment="1">
      <alignment horizontal="center" vertical="center" wrapText="1"/>
    </xf>
    <xf numFmtId="3" fontId="3" fillId="17" borderId="10" xfId="0" applyNumberFormat="1" applyFont="1" applyFill="1" applyBorder="1" applyAlignment="1">
      <alignment horizontal="center" vertical="center"/>
    </xf>
    <xf numFmtId="192" fontId="3" fillId="17" borderId="10" xfId="0" applyNumberFormat="1" applyFont="1" applyFill="1" applyBorder="1" applyAlignment="1">
      <alignment horizontal="center" vertical="center" wrapText="1"/>
    </xf>
    <xf numFmtId="3" fontId="5" fillId="17" borderId="10" xfId="0" applyNumberFormat="1" applyFont="1" applyFill="1" applyBorder="1" applyAlignment="1">
      <alignment horizontal="center" vertical="center" wrapText="1"/>
    </xf>
    <xf numFmtId="0" fontId="7" fillId="17" borderId="0" xfId="0" applyFont="1" applyFill="1"/>
    <xf numFmtId="181" fontId="10" fillId="17" borderId="10" xfId="0" applyNumberFormat="1" applyFont="1" applyFill="1" applyBorder="1" applyAlignment="1">
      <alignment horizontal="center" vertical="center" wrapText="1"/>
    </xf>
    <xf numFmtId="180" fontId="10" fillId="17" borderId="10" xfId="0" applyNumberFormat="1" applyFont="1" applyFill="1" applyBorder="1" applyAlignment="1">
      <alignment horizontal="center" vertical="center" wrapText="1"/>
    </xf>
    <xf numFmtId="0" fontId="33" fillId="17" borderId="0" xfId="0" applyFont="1" applyFill="1" applyAlignment="1">
      <alignment horizontal="center"/>
    </xf>
    <xf numFmtId="0" fontId="3" fillId="17" borderId="0" xfId="0" applyFont="1" applyFill="1" applyAlignment="1">
      <alignment horizontal="center" vertical="top" wrapText="1"/>
    </xf>
    <xf numFmtId="0" fontId="7" fillId="17" borderId="0" xfId="0" applyFont="1" applyFill="1" applyAlignment="1">
      <alignment wrapText="1"/>
    </xf>
    <xf numFmtId="0" fontId="7" fillId="17" borderId="0" xfId="0" applyFont="1" applyFill="1" applyAlignment="1"/>
    <xf numFmtId="0" fontId="3" fillId="17" borderId="0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horizontal="justify" wrapText="1"/>
    </xf>
    <xf numFmtId="49" fontId="3" fillId="17" borderId="10" xfId="0" applyNumberFormat="1" applyFont="1" applyFill="1" applyBorder="1" applyAlignment="1">
      <alignment horizontal="justify" wrapText="1"/>
    </xf>
    <xf numFmtId="0" fontId="10" fillId="17" borderId="10" xfId="0" applyFont="1" applyFill="1" applyBorder="1" applyAlignment="1">
      <alignment horizontal="center" vertical="center" wrapText="1"/>
    </xf>
    <xf numFmtId="11" fontId="3" fillId="17" borderId="10" xfId="0" applyNumberFormat="1" applyFont="1" applyFill="1" applyBorder="1" applyAlignment="1">
      <alignment horizontal="justify" vertical="top" wrapText="1"/>
    </xf>
    <xf numFmtId="49" fontId="3" fillId="17" borderId="10" xfId="0" applyNumberFormat="1" applyFont="1" applyFill="1" applyBorder="1" applyAlignment="1">
      <alignment horizontal="justify" vertical="top" wrapText="1"/>
    </xf>
    <xf numFmtId="1" fontId="3" fillId="17" borderId="10" xfId="0" applyNumberFormat="1" applyFont="1" applyFill="1" applyBorder="1" applyAlignment="1">
      <alignment horizontal="center" vertical="center" wrapText="1"/>
    </xf>
    <xf numFmtId="49" fontId="3" fillId="17" borderId="10" xfId="0" applyNumberFormat="1" applyFont="1" applyFill="1" applyBorder="1" applyAlignment="1">
      <alignment horizontal="left" wrapText="1" indent="1"/>
    </xf>
    <xf numFmtId="0" fontId="3" fillId="17" borderId="10" xfId="0" applyFont="1" applyFill="1" applyBorder="1" applyAlignment="1">
      <alignment horizontal="justify" vertical="center" wrapText="1"/>
    </xf>
    <xf numFmtId="0" fontId="7" fillId="17" borderId="10" xfId="0" applyFont="1" applyFill="1" applyBorder="1" applyAlignment="1">
      <alignment horizontal="center" vertical="top" wrapText="1"/>
    </xf>
    <xf numFmtId="181" fontId="3" fillId="17" borderId="10" xfId="0" applyNumberFormat="1" applyFont="1" applyFill="1" applyBorder="1" applyAlignment="1">
      <alignment vertical="center"/>
    </xf>
    <xf numFmtId="49" fontId="3" fillId="17" borderId="10" xfId="0" applyNumberFormat="1" applyFont="1" applyFill="1" applyBorder="1" applyAlignment="1">
      <alignment horizontal="justify" vertical="center" wrapText="1"/>
    </xf>
    <xf numFmtId="1" fontId="3" fillId="17" borderId="10" xfId="0" applyNumberFormat="1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horizontal="left" wrapText="1" indent="2"/>
    </xf>
    <xf numFmtId="0" fontId="3" fillId="17" borderId="10" xfId="0" applyFont="1" applyFill="1" applyBorder="1" applyAlignment="1">
      <alignment horizontal="left" wrapText="1"/>
    </xf>
    <xf numFmtId="0" fontId="13" fillId="17" borderId="10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vertical="top" wrapText="1"/>
    </xf>
    <xf numFmtId="0" fontId="0" fillId="17" borderId="0" xfId="0" applyFont="1" applyFill="1"/>
    <xf numFmtId="0" fontId="42" fillId="17" borderId="0" xfId="0" applyFont="1" applyFill="1" applyAlignment="1">
      <alignment horizontal="center"/>
    </xf>
    <xf numFmtId="0" fontId="43" fillId="17" borderId="0" xfId="0" applyFont="1" applyFill="1" applyAlignment="1"/>
    <xf numFmtId="0" fontId="43" fillId="17" borderId="0" xfId="0" applyFont="1" applyFill="1"/>
    <xf numFmtId="0" fontId="44" fillId="17" borderId="0" xfId="0" applyFont="1" applyFill="1" applyBorder="1" applyAlignment="1">
      <alignment horizontal="center" vertical="top" wrapText="1"/>
    </xf>
    <xf numFmtId="0" fontId="44" fillId="17" borderId="10" xfId="0" applyFont="1" applyFill="1" applyBorder="1" applyAlignment="1">
      <alignment horizontal="center" vertical="top" wrapText="1"/>
    </xf>
    <xf numFmtId="0" fontId="44" fillId="17" borderId="10" xfId="0" applyFont="1" applyFill="1" applyBorder="1" applyAlignment="1">
      <alignment horizontal="center" vertical="center" wrapText="1"/>
    </xf>
    <xf numFmtId="1" fontId="44" fillId="17" borderId="10" xfId="0" applyNumberFormat="1" applyFont="1" applyFill="1" applyBorder="1" applyAlignment="1">
      <alignment horizontal="center" vertical="center" wrapText="1"/>
    </xf>
    <xf numFmtId="0" fontId="45" fillId="17" borderId="0" xfId="0" applyFont="1" applyFill="1"/>
    <xf numFmtId="181" fontId="0" fillId="17" borderId="0" xfId="0" applyNumberFormat="1" applyFont="1" applyFill="1"/>
    <xf numFmtId="0" fontId="3" fillId="17" borderId="10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horizontal="left" vertical="top" wrapText="1"/>
    </xf>
    <xf numFmtId="0" fontId="3" fillId="17" borderId="10" xfId="0" applyFont="1" applyFill="1" applyBorder="1" applyAlignment="1">
      <alignment horizontal="justify" vertical="top" wrapText="1"/>
    </xf>
    <xf numFmtId="0" fontId="33" fillId="17" borderId="10" xfId="0" applyFont="1" applyFill="1" applyBorder="1" applyAlignment="1">
      <alignment horizontal="center" vertical="top" wrapText="1"/>
    </xf>
    <xf numFmtId="0" fontId="33" fillId="17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wrapText="1"/>
    </xf>
    <xf numFmtId="0" fontId="42" fillId="17" borderId="10" xfId="0" applyFont="1" applyFill="1" applyBorder="1" applyAlignment="1">
      <alignment horizontal="center" vertical="top" wrapText="1"/>
    </xf>
    <xf numFmtId="180" fontId="3" fillId="17" borderId="10" xfId="0" applyNumberFormat="1" applyFont="1" applyFill="1" applyBorder="1" applyAlignment="1">
      <alignment horizontal="center" vertical="top" wrapText="1"/>
    </xf>
    <xf numFmtId="0" fontId="42" fillId="17" borderId="10" xfId="0" applyFont="1" applyFill="1" applyBorder="1" applyAlignment="1">
      <alignment horizontal="center" wrapText="1"/>
    </xf>
    <xf numFmtId="0" fontId="3" fillId="17" borderId="10" xfId="0" applyFont="1" applyFill="1" applyBorder="1" applyAlignment="1">
      <alignment horizontal="center" vertical="top" wrapText="1"/>
    </xf>
    <xf numFmtId="0" fontId="3" fillId="17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180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/>
    <xf numFmtId="0" fontId="34" fillId="0" borderId="0" xfId="0" applyNumberFormat="1" applyFont="1" applyFill="1" applyBorder="1" applyAlignment="1"/>
    <xf numFmtId="0" fontId="35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 indent="4"/>
    </xf>
    <xf numFmtId="0" fontId="33" fillId="0" borderId="0" xfId="0" applyNumberFormat="1" applyFont="1" applyFill="1" applyBorder="1" applyAlignment="1"/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 wrapText="1"/>
    </xf>
    <xf numFmtId="18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/>
    <xf numFmtId="2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81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1" fontId="3" fillId="0" borderId="0" xfId="0" applyNumberFormat="1" applyFont="1" applyFill="1" applyBorder="1"/>
    <xf numFmtId="0" fontId="37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Fill="1" applyBorder="1"/>
    <xf numFmtId="0" fontId="3" fillId="0" borderId="10" xfId="0" applyFont="1" applyFill="1" applyBorder="1"/>
    <xf numFmtId="0" fontId="5" fillId="0" borderId="10" xfId="0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Fill="1" applyBorder="1" applyAlignment="1">
      <alignment horizontal="center" vertical="center" wrapText="1"/>
    </xf>
    <xf numFmtId="4" fontId="3" fillId="0" borderId="10" xfId="43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81" fontId="3" fillId="0" borderId="12" xfId="43" applyNumberFormat="1" applyFont="1" applyFill="1" applyBorder="1" applyAlignment="1">
      <alignment horizontal="center" vertical="center" wrapText="1"/>
    </xf>
    <xf numFmtId="181" fontId="3" fillId="0" borderId="14" xfId="0" applyNumberFormat="1" applyFont="1" applyFill="1" applyBorder="1" applyAlignment="1">
      <alignment horizontal="center" vertical="center" wrapText="1"/>
    </xf>
    <xf numFmtId="181" fontId="3" fillId="0" borderId="15" xfId="43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81" fontId="3" fillId="0" borderId="17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>
      <alignment horizontal="center" vertical="center"/>
    </xf>
    <xf numFmtId="181" fontId="3" fillId="0" borderId="10" xfId="43" applyNumberFormat="1" applyFont="1" applyFill="1" applyBorder="1" applyAlignment="1">
      <alignment horizontal="center" vertical="center" wrapText="1"/>
    </xf>
    <xf numFmtId="3" fontId="3" fillId="0" borderId="10" xfId="43" applyNumberFormat="1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>
      <alignment horizontal="center" vertical="center" wrapText="1"/>
    </xf>
    <xf numFmtId="181" fontId="3" fillId="0" borderId="16" xfId="43" applyNumberFormat="1" applyFont="1" applyFill="1" applyBorder="1" applyAlignment="1">
      <alignment horizontal="center" vertical="center"/>
    </xf>
    <xf numFmtId="181" fontId="3" fillId="0" borderId="10" xfId="43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4" fontId="3" fillId="0" borderId="0" xfId="0" applyNumberFormat="1" applyFont="1" applyFill="1" applyBorder="1"/>
    <xf numFmtId="4" fontId="5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81" fontId="3" fillId="0" borderId="13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81" fontId="3" fillId="0" borderId="14" xfId="0" applyNumberFormat="1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5" fillId="0" borderId="0" xfId="42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0" borderId="0" xfId="0" applyFont="1" applyFill="1"/>
    <xf numFmtId="0" fontId="34" fillId="0" borderId="0" xfId="0" applyFont="1" applyFill="1" applyBorder="1" applyAlignment="1">
      <alignment horizontal="left" wrapText="1" indent="4"/>
    </xf>
    <xf numFmtId="0" fontId="36" fillId="0" borderId="0" xfId="0" applyFont="1" applyFill="1" applyAlignment="1">
      <alignment horizontal="left" indent="4"/>
    </xf>
    <xf numFmtId="0" fontId="34" fillId="0" borderId="0" xfId="0" applyFont="1" applyFill="1" applyBorder="1" applyAlignment="1">
      <alignment horizontal="left" indent="4"/>
    </xf>
    <xf numFmtId="0" fontId="34" fillId="0" borderId="0" xfId="0" applyFont="1" applyFill="1" applyBorder="1" applyAlignment="1">
      <alignment horizontal="center"/>
    </xf>
    <xf numFmtId="0" fontId="36" fillId="0" borderId="0" xfId="0" applyFont="1" applyFill="1" applyAlignment="1"/>
    <xf numFmtId="0" fontId="34" fillId="0" borderId="0" xfId="0" applyFont="1" applyFill="1" applyBorder="1" applyAlignment="1"/>
    <xf numFmtId="0" fontId="5" fillId="0" borderId="10" xfId="0" applyFont="1" applyFill="1" applyBorder="1" applyAlignment="1">
      <alignment horizontal="left" vertical="center" textRotation="90" wrapText="1"/>
    </xf>
    <xf numFmtId="0" fontId="9" fillId="0" borderId="10" xfId="0" applyFont="1" applyFill="1" applyBorder="1" applyAlignment="1">
      <alignment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top" wrapText="1"/>
    </xf>
    <xf numFmtId="0" fontId="33" fillId="17" borderId="0" xfId="0" applyFont="1" applyFill="1" applyAlignment="1">
      <alignment horizontal="center" wrapText="1"/>
    </xf>
    <xf numFmtId="0" fontId="33" fillId="17" borderId="0" xfId="0" applyFont="1" applyFill="1" applyAlignment="1">
      <alignment horizontal="center"/>
    </xf>
    <xf numFmtId="0" fontId="3" fillId="17" borderId="10" xfId="0" applyFont="1" applyFill="1" applyBorder="1" applyAlignment="1">
      <alignment horizontal="center" wrapText="1"/>
    </xf>
    <xf numFmtId="0" fontId="7" fillId="17" borderId="0" xfId="0" applyFont="1" applyFill="1" applyAlignment="1">
      <alignment wrapText="1"/>
    </xf>
    <xf numFmtId="0" fontId="7" fillId="17" borderId="0" xfId="0" applyFont="1" applyFill="1" applyAlignment="1"/>
    <xf numFmtId="0" fontId="3" fillId="17" borderId="10" xfId="0" applyFont="1" applyFill="1" applyBorder="1" applyAlignment="1">
      <alignment horizontal="left" vertical="top" wrapText="1"/>
    </xf>
    <xf numFmtId="0" fontId="0" fillId="17" borderId="10" xfId="0" applyFont="1" applyFill="1" applyBorder="1" applyAlignment="1">
      <alignment vertical="top" wrapText="1"/>
    </xf>
    <xf numFmtId="0" fontId="3" fillId="17" borderId="10" xfId="0" applyFont="1" applyFill="1" applyBorder="1" applyAlignment="1">
      <alignment horizontal="justify" vertical="top" wrapText="1"/>
    </xf>
    <xf numFmtId="0" fontId="33" fillId="17" borderId="10" xfId="0" applyFont="1" applyFill="1" applyBorder="1" applyAlignment="1">
      <alignment horizontal="center" vertical="top" wrapText="1"/>
    </xf>
    <xf numFmtId="0" fontId="33" fillId="17" borderId="10" xfId="0" applyFont="1" applyFill="1" applyBorder="1" applyAlignment="1">
      <alignment horizontal="center" wrapText="1"/>
    </xf>
    <xf numFmtId="0" fontId="3" fillId="17" borderId="0" xfId="0" applyFont="1" applyFill="1" applyBorder="1" applyAlignment="1">
      <alignment horizontal="center" vertical="top" wrapText="1"/>
    </xf>
    <xf numFmtId="0" fontId="5" fillId="17" borderId="10" xfId="0" applyFont="1" applyFill="1" applyBorder="1" applyAlignment="1">
      <alignment horizontal="center" vertical="top" wrapText="1"/>
    </xf>
    <xf numFmtId="0" fontId="0" fillId="17" borderId="10" xfId="0" applyFont="1" applyFill="1" applyBorder="1" applyAlignment="1">
      <alignment horizontal="center" vertical="top" wrapText="1"/>
    </xf>
    <xf numFmtId="0" fontId="0" fillId="17" borderId="10" xfId="0" applyFont="1" applyFill="1" applyBorder="1" applyAlignment="1">
      <alignment horizontal="left" vertical="top" wrapText="1"/>
    </xf>
    <xf numFmtId="0" fontId="3" fillId="17" borderId="10" xfId="0" applyFont="1" applyFill="1" applyBorder="1" applyAlignment="1">
      <alignment horizontal="justify" vertical="top"/>
    </xf>
    <xf numFmtId="0" fontId="0" fillId="17" borderId="10" xfId="0" applyFont="1" applyFill="1" applyBorder="1" applyAlignment="1">
      <alignment horizontal="justify" vertical="top"/>
    </xf>
    <xf numFmtId="0" fontId="0" fillId="17" borderId="10" xfId="0" applyFont="1" applyFill="1" applyBorder="1" applyAlignment="1">
      <alignment horizontal="justify" vertical="top" wrapText="1"/>
    </xf>
    <xf numFmtId="0" fontId="3" fillId="17" borderId="10" xfId="0" applyFont="1" applyFill="1" applyBorder="1" applyAlignment="1">
      <alignment vertical="top" wrapText="1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_МСП_Приложение 4" xfId="42"/>
    <cellStyle name="Финансовый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dministration\&#1057;&#1090;&#1088;&#1086;&#1080;&#1090;&#1077;&#1083;&#1100;&#1085;&#1099;&#1081;%20&#1086;&#1090;&#1076;&#1077;&#1083;\&#1052;&#1055;%20&#1056;&#1072;&#1079;&#1074;&#1080;&#1090;&#1080;&#1077;%20&#1078;&#1080;&#1083;&#1080;&#1097;&#1085;&#1086;&#1075;&#1086;%20&#1089;&#1090;&#1088;&#1086;&#1080;&#1090;&#1077;&#1083;&#1100;&#1089;&#1090;&#1074;&#1072;%20&#1057;&#1077;&#1074;&#1077;&#1088;&#1086;&#1076;&#1074;&#1080;&#1085;&#1089;&#1082;&#1072;\_2016-2021\&#1074;%20&#1088;&#1077;&#1076;.%20274-&#1087;&#1072;%20&#1086;&#1090;%2028.08.2017\&#1055;&#1088;&#1080;&#1083;&#1086;&#1078;&#1077;&#1085;&#1080;&#1077;%204%20&#1086;&#1090;%2028.08.2017%20274-&#1087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_4"/>
      <sheetName val="расчет_показ"/>
      <sheetName val="Лист1"/>
      <sheetName val="Лист2"/>
    </sheetNames>
    <sheetDataSet>
      <sheetData sheetId="0" refreshError="1">
        <row r="50">
          <cell r="K50">
            <v>20593.3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  <pageSetUpPr fitToPage="1"/>
  </sheetPr>
  <dimension ref="A1:AA411"/>
  <sheetViews>
    <sheetView tabSelected="1" view="pageBreakPreview" topLeftCell="A60" zoomScale="85" zoomScaleNormal="90" zoomScaleSheetLayoutView="85" workbookViewId="0">
      <selection activeCell="N73" sqref="N73"/>
    </sheetView>
  </sheetViews>
  <sheetFormatPr defaultRowHeight="12.75" x14ac:dyDescent="0.2"/>
  <cols>
    <col min="1" max="7" width="3.140625" style="69" customWidth="1"/>
    <col min="8" max="8" width="73.42578125" style="69" customWidth="1"/>
    <col min="9" max="9" width="10.42578125" style="69" customWidth="1"/>
    <col min="10" max="11" width="10.7109375" style="69" bestFit="1" customWidth="1"/>
    <col min="12" max="12" width="9.28515625" style="69" bestFit="1" customWidth="1"/>
    <col min="13" max="13" width="10.7109375" style="69" bestFit="1" customWidth="1"/>
    <col min="14" max="14" width="11.140625" style="69" customWidth="1"/>
    <col min="15" max="18" width="11" style="69" customWidth="1"/>
    <col min="19" max="19" width="13.7109375" style="69" customWidth="1"/>
    <col min="20" max="20" width="8.140625" style="69" bestFit="1" customWidth="1"/>
    <col min="21" max="21" width="17" style="68" customWidth="1"/>
    <col min="22" max="22" width="15.7109375" style="69" customWidth="1"/>
    <col min="23" max="23" width="8.7109375" style="69" bestFit="1" customWidth="1"/>
    <col min="24" max="24" width="9.5703125" style="69" bestFit="1" customWidth="1"/>
    <col min="25" max="25" width="20.28515625" style="69" customWidth="1"/>
    <col min="26" max="27" width="14.7109375" style="69" customWidth="1"/>
    <col min="28" max="16384" width="9.140625" style="69"/>
  </cols>
  <sheetData>
    <row r="1" spans="1:20" ht="18.75" x14ac:dyDescent="0.3">
      <c r="A1" s="72"/>
      <c r="B1" s="72"/>
      <c r="C1" s="72"/>
      <c r="D1" s="72"/>
      <c r="E1" s="72"/>
      <c r="F1" s="72"/>
      <c r="G1" s="72"/>
      <c r="H1" s="72"/>
      <c r="I1" s="72"/>
      <c r="J1" s="72"/>
      <c r="N1" s="72" t="s">
        <v>329</v>
      </c>
      <c r="O1" s="72"/>
      <c r="P1" s="72"/>
      <c r="Q1" s="72"/>
      <c r="R1" s="72"/>
      <c r="S1" s="72"/>
      <c r="T1" s="72"/>
    </row>
    <row r="2" spans="1:20" ht="18.75" x14ac:dyDescent="0.3">
      <c r="A2" s="72"/>
      <c r="B2" s="72"/>
      <c r="C2" s="72"/>
      <c r="D2" s="72"/>
      <c r="E2" s="72"/>
      <c r="F2" s="72"/>
      <c r="G2" s="72"/>
      <c r="H2" s="72"/>
      <c r="I2" s="72"/>
      <c r="J2" s="72"/>
      <c r="N2" s="72" t="s">
        <v>330</v>
      </c>
      <c r="O2" s="72"/>
      <c r="P2" s="72"/>
      <c r="Q2" s="72"/>
      <c r="R2" s="72"/>
      <c r="S2" s="72"/>
      <c r="T2" s="72"/>
    </row>
    <row r="3" spans="1:20" ht="18.75" x14ac:dyDescent="0.3">
      <c r="A3" s="72"/>
      <c r="B3" s="72"/>
      <c r="C3" s="72"/>
      <c r="D3" s="72"/>
      <c r="E3" s="72"/>
      <c r="F3" s="72"/>
      <c r="G3" s="72"/>
      <c r="H3" s="72"/>
      <c r="I3" s="72"/>
      <c r="J3" s="72"/>
      <c r="N3" s="73" t="s">
        <v>135</v>
      </c>
      <c r="O3" s="72"/>
      <c r="P3" s="72"/>
      <c r="Q3" s="72"/>
      <c r="R3" s="72"/>
      <c r="S3" s="72"/>
      <c r="T3" s="72"/>
    </row>
    <row r="4" spans="1:20" ht="18.75" x14ac:dyDescent="0.3">
      <c r="A4" s="72"/>
      <c r="B4" s="72"/>
      <c r="C4" s="72"/>
      <c r="D4" s="72"/>
      <c r="E4" s="72"/>
      <c r="F4" s="72"/>
      <c r="G4" s="72"/>
      <c r="H4" s="72"/>
      <c r="I4" s="72"/>
      <c r="J4" s="72"/>
      <c r="N4" s="73" t="s">
        <v>47</v>
      </c>
      <c r="O4" s="72"/>
      <c r="P4" s="72"/>
      <c r="Q4" s="72"/>
      <c r="R4" s="72"/>
      <c r="S4" s="72"/>
      <c r="T4" s="72"/>
    </row>
    <row r="5" spans="1:20" ht="18.75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N5" s="73" t="s">
        <v>297</v>
      </c>
      <c r="O5" s="72"/>
      <c r="P5" s="72"/>
      <c r="Q5" s="72"/>
      <c r="R5" s="72"/>
      <c r="S5" s="72"/>
      <c r="T5" s="72"/>
    </row>
    <row r="6" spans="1:20" ht="17.25" customHeight="1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N6" s="72" t="s">
        <v>481</v>
      </c>
      <c r="O6" s="72"/>
      <c r="P6" s="74"/>
      <c r="Q6" s="72"/>
      <c r="R6" s="72"/>
      <c r="S6" s="72"/>
      <c r="T6" s="72"/>
    </row>
    <row r="7" spans="1:20" ht="17.25" customHeight="1" x14ac:dyDescent="0.3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4"/>
      <c r="N7" s="72"/>
      <c r="O7" s="72"/>
      <c r="P7" s="72"/>
      <c r="Q7" s="72"/>
      <c r="R7" s="72"/>
      <c r="S7" s="72"/>
      <c r="T7" s="72"/>
    </row>
    <row r="8" spans="1:20" ht="18.75" x14ac:dyDescent="0.3">
      <c r="A8" s="158" t="s">
        <v>100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</row>
    <row r="9" spans="1:20" ht="18.75" x14ac:dyDescent="0.3">
      <c r="A9" s="158" t="s">
        <v>136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</row>
    <row r="10" spans="1:20" ht="18.75" x14ac:dyDescent="0.3">
      <c r="A10" s="72"/>
      <c r="B10" s="72"/>
      <c r="C10" s="72"/>
      <c r="D10" s="72"/>
      <c r="E10" s="72"/>
      <c r="F10" s="160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</row>
    <row r="11" spans="1:20" ht="18.75" x14ac:dyDescent="0.3">
      <c r="A11" s="157" t="s">
        <v>51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</row>
    <row r="12" spans="1:20" ht="15.75" customHeight="1" x14ac:dyDescent="0.3">
      <c r="A12" s="75"/>
      <c r="B12" s="75"/>
      <c r="C12" s="75"/>
      <c r="D12" s="75"/>
      <c r="E12" s="75"/>
      <c r="F12" s="157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</row>
    <row r="13" spans="1:20" ht="21" customHeight="1" x14ac:dyDescent="0.2">
      <c r="A13" s="155" t="s">
        <v>440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</row>
    <row r="14" spans="1:20" ht="12.75" customHeight="1" x14ac:dyDescent="0.2">
      <c r="A14" s="156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</row>
    <row r="15" spans="1:20" ht="12.75" customHeight="1" x14ac:dyDescent="0.2">
      <c r="A15" s="156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</row>
    <row r="16" spans="1:20" x14ac:dyDescent="0.2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</row>
    <row r="17" spans="1:27" x14ac:dyDescent="0.2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</row>
    <row r="18" spans="1:27" ht="7.5" customHeight="1" x14ac:dyDescent="0.25">
      <c r="M18" s="76"/>
    </row>
    <row r="19" spans="1:27" ht="30.75" customHeight="1" x14ac:dyDescent="0.2">
      <c r="A19" s="163" t="s">
        <v>327</v>
      </c>
      <c r="B19" s="164"/>
      <c r="C19" s="164"/>
      <c r="D19" s="164"/>
      <c r="E19" s="164"/>
      <c r="F19" s="164"/>
      <c r="G19" s="161" t="s">
        <v>325</v>
      </c>
      <c r="H19" s="163" t="s">
        <v>253</v>
      </c>
      <c r="I19" s="165" t="s">
        <v>254</v>
      </c>
      <c r="J19" s="166" t="s">
        <v>87</v>
      </c>
      <c r="K19" s="167"/>
      <c r="L19" s="168"/>
      <c r="M19" s="168"/>
      <c r="N19" s="168"/>
      <c r="O19" s="168"/>
      <c r="P19" s="169"/>
      <c r="Q19" s="169"/>
      <c r="R19" s="170"/>
      <c r="S19" s="163" t="s">
        <v>257</v>
      </c>
      <c r="T19" s="163"/>
    </row>
    <row r="20" spans="1:27" ht="54.75" customHeight="1" x14ac:dyDescent="0.2">
      <c r="A20" s="79" t="s">
        <v>249</v>
      </c>
      <c r="B20" s="79" t="s">
        <v>251</v>
      </c>
      <c r="C20" s="79" t="s">
        <v>250</v>
      </c>
      <c r="D20" s="77" t="s">
        <v>252</v>
      </c>
      <c r="E20" s="165" t="s">
        <v>326</v>
      </c>
      <c r="F20" s="165"/>
      <c r="G20" s="162"/>
      <c r="H20" s="163"/>
      <c r="I20" s="165"/>
      <c r="J20" s="80">
        <v>2016</v>
      </c>
      <c r="K20" s="81">
        <v>2017</v>
      </c>
      <c r="L20" s="81">
        <v>2018</v>
      </c>
      <c r="M20" s="81">
        <v>2019</v>
      </c>
      <c r="N20" s="81">
        <v>2020</v>
      </c>
      <c r="O20" s="81">
        <v>2021</v>
      </c>
      <c r="P20" s="81">
        <v>2022</v>
      </c>
      <c r="Q20" s="81">
        <v>2023</v>
      </c>
      <c r="R20" s="81">
        <v>2024</v>
      </c>
      <c r="S20" s="82" t="s">
        <v>255</v>
      </c>
      <c r="T20" s="77" t="s">
        <v>256</v>
      </c>
    </row>
    <row r="21" spans="1:27" ht="15" x14ac:dyDescent="0.2">
      <c r="A21" s="83">
        <v>1</v>
      </c>
      <c r="B21" s="83">
        <v>2</v>
      </c>
      <c r="C21" s="83">
        <v>3</v>
      </c>
      <c r="D21" s="83">
        <v>4</v>
      </c>
      <c r="E21" s="83">
        <v>5</v>
      </c>
      <c r="F21" s="83">
        <v>6</v>
      </c>
      <c r="G21" s="83">
        <v>7</v>
      </c>
      <c r="H21" s="83">
        <v>8</v>
      </c>
      <c r="I21" s="83">
        <v>9</v>
      </c>
      <c r="J21" s="83" t="s">
        <v>88</v>
      </c>
      <c r="K21" s="83">
        <v>11</v>
      </c>
      <c r="L21" s="83">
        <v>12</v>
      </c>
      <c r="M21" s="83">
        <v>13</v>
      </c>
      <c r="N21" s="83">
        <v>14</v>
      </c>
      <c r="O21" s="83">
        <v>15</v>
      </c>
      <c r="P21" s="83">
        <v>16</v>
      </c>
      <c r="Q21" s="83">
        <v>17</v>
      </c>
      <c r="R21" s="83">
        <v>18</v>
      </c>
      <c r="S21" s="83">
        <v>19</v>
      </c>
      <c r="T21" s="83">
        <v>20</v>
      </c>
    </row>
    <row r="22" spans="1:27" ht="28.5" x14ac:dyDescent="0.2">
      <c r="A22" s="84" t="s">
        <v>328</v>
      </c>
      <c r="B22" s="84">
        <v>0</v>
      </c>
      <c r="C22" s="84">
        <v>0</v>
      </c>
      <c r="D22" s="84">
        <v>0</v>
      </c>
      <c r="E22" s="84">
        <v>0</v>
      </c>
      <c r="F22" s="84">
        <v>0</v>
      </c>
      <c r="G22" s="84"/>
      <c r="H22" s="85" t="s">
        <v>137</v>
      </c>
      <c r="I22" s="86" t="s">
        <v>259</v>
      </c>
      <c r="J22" s="87">
        <f t="shared" ref="J22:R22" si="0">SUM(J23:J26)</f>
        <v>1756606.6</v>
      </c>
      <c r="K22" s="87">
        <f t="shared" si="0"/>
        <v>1181144</v>
      </c>
      <c r="L22" s="87">
        <f t="shared" si="0"/>
        <v>466602.2</v>
      </c>
      <c r="M22" s="87">
        <f t="shared" si="0"/>
        <v>1510301.7999999998</v>
      </c>
      <c r="N22" s="87">
        <f t="shared" si="0"/>
        <v>1993897.1</v>
      </c>
      <c r="O22" s="87">
        <f t="shared" si="0"/>
        <v>1628561.4</v>
      </c>
      <c r="P22" s="87">
        <f t="shared" si="0"/>
        <v>3125406</v>
      </c>
      <c r="Q22" s="87">
        <f t="shared" si="0"/>
        <v>1257688.6000000001</v>
      </c>
      <c r="R22" s="87">
        <f t="shared" si="0"/>
        <v>1308380.3999999999</v>
      </c>
      <c r="S22" s="87">
        <f>SUM(J22:R22)</f>
        <v>14228588.1</v>
      </c>
      <c r="T22" s="88">
        <v>2024</v>
      </c>
      <c r="U22" s="89">
        <f>S36+S74+S258+S309+S333+S368</f>
        <v>14228588.099999998</v>
      </c>
      <c r="V22" s="90"/>
      <c r="AA22" s="90"/>
    </row>
    <row r="23" spans="1:27" ht="15" x14ac:dyDescent="0.2">
      <c r="A23" s="61" t="s">
        <v>328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1</v>
      </c>
      <c r="H23" s="62" t="s">
        <v>218</v>
      </c>
      <c r="I23" s="63" t="s">
        <v>259</v>
      </c>
      <c r="J23" s="66">
        <f t="shared" ref="J23:R23" si="1">J310+J334+J75</f>
        <v>82875.599999999991</v>
      </c>
      <c r="K23" s="66">
        <f t="shared" si="1"/>
        <v>43369.599999999999</v>
      </c>
      <c r="L23" s="66">
        <f t="shared" si="1"/>
        <v>119444.1</v>
      </c>
      <c r="M23" s="66">
        <f t="shared" si="1"/>
        <v>308812.69999999995</v>
      </c>
      <c r="N23" s="66">
        <f t="shared" si="1"/>
        <v>575613.5</v>
      </c>
      <c r="O23" s="66">
        <f t="shared" si="1"/>
        <v>1010837.4</v>
      </c>
      <c r="P23" s="66">
        <f t="shared" si="1"/>
        <v>1207608.2999999998</v>
      </c>
      <c r="Q23" s="66">
        <f t="shared" si="1"/>
        <v>797062.2</v>
      </c>
      <c r="R23" s="66">
        <f t="shared" si="1"/>
        <v>467920.8</v>
      </c>
      <c r="S23" s="66">
        <f>SUM(J23:R23)</f>
        <v>4613544.1999999993</v>
      </c>
      <c r="T23" s="67">
        <v>2024</v>
      </c>
    </row>
    <row r="24" spans="1:27" ht="15" x14ac:dyDescent="0.2">
      <c r="A24" s="61" t="s">
        <v>328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2</v>
      </c>
      <c r="H24" s="62" t="s">
        <v>228</v>
      </c>
      <c r="I24" s="63" t="s">
        <v>259</v>
      </c>
      <c r="J24" s="66">
        <f t="shared" ref="J24:R24" si="2">J37+J76+J311+J335+J369</f>
        <v>420043.20000000007</v>
      </c>
      <c r="K24" s="66">
        <f t="shared" si="2"/>
        <v>90944.5</v>
      </c>
      <c r="L24" s="66">
        <f t="shared" si="2"/>
        <v>47476.100000000006</v>
      </c>
      <c r="M24" s="66">
        <f t="shared" si="2"/>
        <v>503786.19999999995</v>
      </c>
      <c r="N24" s="66">
        <f t="shared" si="2"/>
        <v>300657.2</v>
      </c>
      <c r="O24" s="66">
        <f t="shared" si="2"/>
        <v>134645.6</v>
      </c>
      <c r="P24" s="66">
        <f t="shared" si="2"/>
        <v>1497047.7</v>
      </c>
      <c r="Q24" s="66">
        <f t="shared" si="2"/>
        <v>137436.30000000002</v>
      </c>
      <c r="R24" s="66">
        <f t="shared" si="2"/>
        <v>92746.9</v>
      </c>
      <c r="S24" s="66">
        <f>SUM(J24:R24)</f>
        <v>3224783.6999999997</v>
      </c>
      <c r="T24" s="67">
        <v>2024</v>
      </c>
    </row>
    <row r="25" spans="1:27" ht="15" x14ac:dyDescent="0.2">
      <c r="A25" s="61" t="s">
        <v>328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3</v>
      </c>
      <c r="H25" s="62" t="s">
        <v>229</v>
      </c>
      <c r="I25" s="63" t="s">
        <v>259</v>
      </c>
      <c r="J25" s="66">
        <f t="shared" ref="J25:R25" si="3">J38+J77+J259+J312+J336+J370</f>
        <v>442269.6</v>
      </c>
      <c r="K25" s="66">
        <f t="shared" si="3"/>
        <v>439748.8</v>
      </c>
      <c r="L25" s="66">
        <f t="shared" si="3"/>
        <v>289146.09999999998</v>
      </c>
      <c r="M25" s="66">
        <f t="shared" si="3"/>
        <v>274704.8</v>
      </c>
      <c r="N25" s="66">
        <f t="shared" si="3"/>
        <v>408325.30000000005</v>
      </c>
      <c r="O25" s="66">
        <f t="shared" si="3"/>
        <v>376988</v>
      </c>
      <c r="P25" s="66">
        <f t="shared" si="3"/>
        <v>420749.99999999994</v>
      </c>
      <c r="Q25" s="66">
        <f t="shared" si="3"/>
        <v>56839.4</v>
      </c>
      <c r="R25" s="66">
        <f t="shared" si="3"/>
        <v>554424.80000000005</v>
      </c>
      <c r="S25" s="66">
        <f>SUM(J25:R25)</f>
        <v>3263196.8</v>
      </c>
      <c r="T25" s="67">
        <v>2024</v>
      </c>
    </row>
    <row r="26" spans="1:27" ht="15" x14ac:dyDescent="0.2">
      <c r="A26" s="61" t="s">
        <v>328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5</v>
      </c>
      <c r="H26" s="62" t="s">
        <v>331</v>
      </c>
      <c r="I26" s="63" t="s">
        <v>259</v>
      </c>
      <c r="J26" s="66">
        <f t="shared" ref="J26:R26" si="4">J39+J371</f>
        <v>811418.2</v>
      </c>
      <c r="K26" s="66">
        <f t="shared" si="4"/>
        <v>607081.1</v>
      </c>
      <c r="L26" s="66">
        <f t="shared" si="4"/>
        <v>10535.9</v>
      </c>
      <c r="M26" s="66">
        <f t="shared" si="4"/>
        <v>422998.1</v>
      </c>
      <c r="N26" s="66">
        <f t="shared" si="4"/>
        <v>709301.10000000009</v>
      </c>
      <c r="O26" s="66">
        <f t="shared" si="4"/>
        <v>106090.4</v>
      </c>
      <c r="P26" s="66">
        <f t="shared" si="4"/>
        <v>0</v>
      </c>
      <c r="Q26" s="66">
        <f t="shared" si="4"/>
        <v>266350.7</v>
      </c>
      <c r="R26" s="66">
        <f t="shared" si="4"/>
        <v>193287.9</v>
      </c>
      <c r="S26" s="66">
        <f>SUM(J26:R26)</f>
        <v>3127063.4</v>
      </c>
      <c r="T26" s="67">
        <v>2024</v>
      </c>
    </row>
    <row r="27" spans="1:27" ht="30" x14ac:dyDescent="0.2">
      <c r="A27" s="61" t="s">
        <v>328</v>
      </c>
      <c r="B27" s="61">
        <v>1</v>
      </c>
      <c r="C27" s="61">
        <v>0</v>
      </c>
      <c r="D27" s="61">
        <v>0</v>
      </c>
      <c r="E27" s="61">
        <v>0</v>
      </c>
      <c r="F27" s="61">
        <v>0</v>
      </c>
      <c r="G27" s="61"/>
      <c r="H27" s="62" t="s">
        <v>145</v>
      </c>
      <c r="I27" s="63" t="s">
        <v>259</v>
      </c>
      <c r="J27" s="66">
        <f t="shared" ref="J27:S27" si="5">J36+J74+J258+J309+J333+J368</f>
        <v>1756606.6</v>
      </c>
      <c r="K27" s="66">
        <f t="shared" si="5"/>
        <v>1181144</v>
      </c>
      <c r="L27" s="66">
        <f t="shared" si="5"/>
        <v>466602.1999999999</v>
      </c>
      <c r="M27" s="66">
        <f t="shared" si="5"/>
        <v>1510301.8</v>
      </c>
      <c r="N27" s="66">
        <f t="shared" si="5"/>
        <v>1993897.1</v>
      </c>
      <c r="O27" s="66">
        <f t="shared" si="5"/>
        <v>1628561.4000000001</v>
      </c>
      <c r="P27" s="66">
        <f t="shared" si="5"/>
        <v>3125406</v>
      </c>
      <c r="Q27" s="66">
        <f t="shared" si="5"/>
        <v>1257688.6000000001</v>
      </c>
      <c r="R27" s="66">
        <f t="shared" si="5"/>
        <v>1308380.4000000001</v>
      </c>
      <c r="S27" s="66">
        <f t="shared" si="5"/>
        <v>14228588.099999998</v>
      </c>
      <c r="T27" s="67">
        <v>2024</v>
      </c>
      <c r="U27" s="89"/>
    </row>
    <row r="28" spans="1:27" ht="15" x14ac:dyDescent="0.2">
      <c r="A28" s="61" t="s">
        <v>328</v>
      </c>
      <c r="B28" s="61">
        <v>1</v>
      </c>
      <c r="C28" s="61">
        <v>0</v>
      </c>
      <c r="D28" s="61">
        <v>0</v>
      </c>
      <c r="E28" s="61">
        <v>0</v>
      </c>
      <c r="F28" s="61">
        <v>0</v>
      </c>
      <c r="G28" s="61"/>
      <c r="H28" s="62" t="s">
        <v>265</v>
      </c>
      <c r="I28" s="63" t="s">
        <v>258</v>
      </c>
      <c r="J28" s="71">
        <v>37033</v>
      </c>
      <c r="K28" s="71">
        <v>44827.9</v>
      </c>
      <c r="L28" s="71">
        <v>58613</v>
      </c>
      <c r="M28" s="71">
        <v>68626.5</v>
      </c>
      <c r="N28" s="71">
        <v>73026.399999999994</v>
      </c>
      <c r="O28" s="71">
        <v>89906.7</v>
      </c>
      <c r="P28" s="71">
        <v>65845.5</v>
      </c>
      <c r="Q28" s="71">
        <v>56638</v>
      </c>
      <c r="R28" s="71">
        <v>60698</v>
      </c>
      <c r="S28" s="66">
        <f>R28</f>
        <v>60698</v>
      </c>
      <c r="T28" s="67">
        <v>2024</v>
      </c>
    </row>
    <row r="29" spans="1:27" ht="30" x14ac:dyDescent="0.2">
      <c r="A29" s="61" t="s">
        <v>328</v>
      </c>
      <c r="B29" s="61">
        <v>1</v>
      </c>
      <c r="C29" s="61">
        <v>0</v>
      </c>
      <c r="D29" s="61">
        <v>0</v>
      </c>
      <c r="E29" s="61">
        <v>0</v>
      </c>
      <c r="F29" s="61">
        <v>0</v>
      </c>
      <c r="G29" s="61"/>
      <c r="H29" s="62" t="s">
        <v>106</v>
      </c>
      <c r="I29" s="63" t="s">
        <v>263</v>
      </c>
      <c r="J29" s="91">
        <v>26.494136505935156</v>
      </c>
      <c r="K29" s="91">
        <v>22.866442120095385</v>
      </c>
      <c r="L29" s="91">
        <v>23.423179754818015</v>
      </c>
      <c r="M29" s="91">
        <v>23.784693692710608</v>
      </c>
      <c r="N29" s="91">
        <v>24.276295562295388</v>
      </c>
      <c r="O29" s="91">
        <v>24.835574112734871</v>
      </c>
      <c r="P29" s="91">
        <v>25.264684888435344</v>
      </c>
      <c r="Q29" s="91">
        <v>25.654107315992142</v>
      </c>
      <c r="R29" s="91">
        <v>26.073173419412299</v>
      </c>
      <c r="S29" s="65">
        <f t="shared" ref="S29:S35" si="6">R29</f>
        <v>26.073173419412299</v>
      </c>
      <c r="T29" s="67">
        <v>2024</v>
      </c>
    </row>
    <row r="30" spans="1:27" ht="30" x14ac:dyDescent="0.2">
      <c r="A30" s="61" t="s">
        <v>328</v>
      </c>
      <c r="B30" s="61">
        <v>1</v>
      </c>
      <c r="C30" s="61">
        <v>0</v>
      </c>
      <c r="D30" s="61">
        <v>0</v>
      </c>
      <c r="E30" s="61">
        <v>0</v>
      </c>
      <c r="F30" s="61">
        <v>0</v>
      </c>
      <c r="G30" s="61"/>
      <c r="H30" s="62" t="s">
        <v>413</v>
      </c>
      <c r="I30" s="63" t="s">
        <v>264</v>
      </c>
      <c r="J30" s="91">
        <v>1.2334360303535863</v>
      </c>
      <c r="K30" s="91">
        <v>2.44260449898999</v>
      </c>
      <c r="L30" s="91">
        <v>2.3555550872390159</v>
      </c>
      <c r="M30" s="91">
        <v>2.0716013213127384</v>
      </c>
      <c r="N30" s="91">
        <v>2.034245463383674</v>
      </c>
      <c r="O30" s="91">
        <v>1.9485015521932263</v>
      </c>
      <c r="P30" s="91">
        <v>1.8738311957856708</v>
      </c>
      <c r="Q30" s="91">
        <v>1.8046586131882412</v>
      </c>
      <c r="R30" s="91">
        <v>1.7354682705733586</v>
      </c>
      <c r="S30" s="65">
        <f t="shared" si="6"/>
        <v>1.7354682705733586</v>
      </c>
      <c r="T30" s="67">
        <v>2024</v>
      </c>
    </row>
    <row r="31" spans="1:27" ht="45" x14ac:dyDescent="0.2">
      <c r="A31" s="61" t="s">
        <v>328</v>
      </c>
      <c r="B31" s="61">
        <v>1</v>
      </c>
      <c r="C31" s="61">
        <v>0</v>
      </c>
      <c r="D31" s="61">
        <v>0</v>
      </c>
      <c r="E31" s="61">
        <v>0</v>
      </c>
      <c r="F31" s="61">
        <v>0</v>
      </c>
      <c r="G31" s="61"/>
      <c r="H31" s="62" t="s">
        <v>108</v>
      </c>
      <c r="I31" s="63" t="s">
        <v>264</v>
      </c>
      <c r="J31" s="92">
        <v>5.0748210800260249</v>
      </c>
      <c r="K31" s="92">
        <v>20.33898305084746</v>
      </c>
      <c r="L31" s="92">
        <v>2.9440491139946978</v>
      </c>
      <c r="M31" s="92">
        <v>3.0885862698301279</v>
      </c>
      <c r="N31" s="92">
        <v>0.71208933484382586</v>
      </c>
      <c r="O31" s="92">
        <v>3.3333333333333335</v>
      </c>
      <c r="P31" s="92">
        <v>2.9209621993127146</v>
      </c>
      <c r="Q31" s="92">
        <v>5.9497248252268333</v>
      </c>
      <c r="R31" s="92">
        <v>6.0395591121848105</v>
      </c>
      <c r="S31" s="66">
        <f t="shared" si="6"/>
        <v>6.0395591121848105</v>
      </c>
      <c r="T31" s="67">
        <v>2024</v>
      </c>
    </row>
    <row r="32" spans="1:27" ht="45" x14ac:dyDescent="0.2">
      <c r="A32" s="61" t="s">
        <v>328</v>
      </c>
      <c r="B32" s="61">
        <v>1</v>
      </c>
      <c r="C32" s="61">
        <v>0</v>
      </c>
      <c r="D32" s="61">
        <v>0</v>
      </c>
      <c r="E32" s="61">
        <v>0</v>
      </c>
      <c r="F32" s="61">
        <v>0</v>
      </c>
      <c r="G32" s="61"/>
      <c r="H32" s="62" t="s">
        <v>414</v>
      </c>
      <c r="I32" s="63" t="s">
        <v>261</v>
      </c>
      <c r="J32" s="91">
        <v>16.301703163017031</v>
      </c>
      <c r="K32" s="91">
        <v>20.820189274447952</v>
      </c>
      <c r="L32" s="91">
        <v>14.745762711864408</v>
      </c>
      <c r="M32" s="91">
        <v>14.333333333333334</v>
      </c>
      <c r="N32" s="91">
        <v>10.037174721189592</v>
      </c>
      <c r="O32" s="91">
        <v>13.888888888888889</v>
      </c>
      <c r="P32" s="91">
        <v>13.636363636363635</v>
      </c>
      <c r="Q32" s="91">
        <v>10.833333333333334</v>
      </c>
      <c r="R32" s="91">
        <v>10.833333333333334</v>
      </c>
      <c r="S32" s="65">
        <f t="shared" si="6"/>
        <v>10.833333333333334</v>
      </c>
      <c r="T32" s="67">
        <v>2024</v>
      </c>
    </row>
    <row r="33" spans="1:27" ht="15" x14ac:dyDescent="0.2">
      <c r="A33" s="61" t="s">
        <v>328</v>
      </c>
      <c r="B33" s="61">
        <v>1</v>
      </c>
      <c r="C33" s="61">
        <v>0</v>
      </c>
      <c r="D33" s="61">
        <v>0</v>
      </c>
      <c r="E33" s="61">
        <v>0</v>
      </c>
      <c r="F33" s="61">
        <v>0</v>
      </c>
      <c r="G33" s="61"/>
      <c r="H33" s="62" t="s">
        <v>335</v>
      </c>
      <c r="I33" s="63" t="s">
        <v>80</v>
      </c>
      <c r="J33" s="70">
        <v>41.198671962060843</v>
      </c>
      <c r="K33" s="70">
        <v>35.352754526640361</v>
      </c>
      <c r="L33" s="70">
        <v>36.100652707605427</v>
      </c>
      <c r="M33" s="70">
        <v>36.525305281150239</v>
      </c>
      <c r="N33" s="70">
        <v>37.154535857024356</v>
      </c>
      <c r="O33" s="70">
        <v>37.876908897435264</v>
      </c>
      <c r="P33" s="70">
        <v>38.375758489807218</v>
      </c>
      <c r="Q33" s="70">
        <v>38.797460389278513</v>
      </c>
      <c r="R33" s="70">
        <v>39.253180169083961</v>
      </c>
      <c r="S33" s="66">
        <f t="shared" si="6"/>
        <v>39.253180169083961</v>
      </c>
      <c r="T33" s="67">
        <v>2024</v>
      </c>
    </row>
    <row r="34" spans="1:27" ht="30" x14ac:dyDescent="0.2">
      <c r="A34" s="61" t="s">
        <v>328</v>
      </c>
      <c r="B34" s="61">
        <v>1</v>
      </c>
      <c r="C34" s="61">
        <v>0</v>
      </c>
      <c r="D34" s="61">
        <v>0</v>
      </c>
      <c r="E34" s="61">
        <v>0</v>
      </c>
      <c r="F34" s="61">
        <v>0</v>
      </c>
      <c r="G34" s="61"/>
      <c r="H34" s="62" t="s">
        <v>337</v>
      </c>
      <c r="I34" s="63" t="s">
        <v>260</v>
      </c>
      <c r="J34" s="93">
        <v>4.3644828087871588</v>
      </c>
      <c r="K34" s="93">
        <v>4.3897680468241926</v>
      </c>
      <c r="L34" s="93">
        <v>4.4034901736932239</v>
      </c>
      <c r="M34" s="93">
        <v>4.419467481449149</v>
      </c>
      <c r="N34" s="93">
        <v>4.4344198574416138</v>
      </c>
      <c r="O34" s="93">
        <v>4.4500604329194591</v>
      </c>
      <c r="P34" s="93">
        <v>4.4681027112005953</v>
      </c>
      <c r="Q34" s="93">
        <v>4.5984653314496242</v>
      </c>
      <c r="R34" s="93">
        <v>4.674977738201247</v>
      </c>
      <c r="S34" s="65">
        <f t="shared" si="6"/>
        <v>4.674977738201247</v>
      </c>
      <c r="T34" s="67">
        <v>2024</v>
      </c>
    </row>
    <row r="35" spans="1:27" ht="30" x14ac:dyDescent="0.2">
      <c r="A35" s="61" t="s">
        <v>328</v>
      </c>
      <c r="B35" s="61">
        <v>1</v>
      </c>
      <c r="C35" s="61">
        <v>0</v>
      </c>
      <c r="D35" s="61">
        <v>0</v>
      </c>
      <c r="E35" s="61">
        <v>0</v>
      </c>
      <c r="F35" s="61">
        <v>0</v>
      </c>
      <c r="G35" s="61"/>
      <c r="H35" s="62" t="s">
        <v>304</v>
      </c>
      <c r="I35" s="63" t="s">
        <v>260</v>
      </c>
      <c r="J35" s="94">
        <v>2</v>
      </c>
      <c r="K35" s="94">
        <v>5</v>
      </c>
      <c r="L35" s="94">
        <v>5</v>
      </c>
      <c r="M35" s="94">
        <v>5</v>
      </c>
      <c r="N35" s="94">
        <v>9</v>
      </c>
      <c r="O35" s="94">
        <v>11</v>
      </c>
      <c r="P35" s="94">
        <v>12</v>
      </c>
      <c r="Q35" s="94">
        <v>14</v>
      </c>
      <c r="R35" s="94">
        <v>15</v>
      </c>
      <c r="S35" s="95">
        <f t="shared" si="6"/>
        <v>15</v>
      </c>
      <c r="T35" s="67">
        <v>2024</v>
      </c>
    </row>
    <row r="36" spans="1:27" ht="28.5" x14ac:dyDescent="0.2">
      <c r="A36" s="84" t="s">
        <v>328</v>
      </c>
      <c r="B36" s="84">
        <v>1</v>
      </c>
      <c r="C36" s="84">
        <v>1</v>
      </c>
      <c r="D36" s="84">
        <v>0</v>
      </c>
      <c r="E36" s="84">
        <v>0</v>
      </c>
      <c r="F36" s="84">
        <v>0</v>
      </c>
      <c r="G36" s="61"/>
      <c r="H36" s="85" t="s">
        <v>55</v>
      </c>
      <c r="I36" s="86" t="s">
        <v>259</v>
      </c>
      <c r="J36" s="96">
        <f>J37+J38+J39</f>
        <v>953836.8</v>
      </c>
      <c r="K36" s="96">
        <f t="shared" ref="K36:S36" si="7">K37+K38+K39</f>
        <v>916212</v>
      </c>
      <c r="L36" s="96">
        <f t="shared" si="7"/>
        <v>198569.9</v>
      </c>
      <c r="M36" s="96">
        <f t="shared" si="7"/>
        <v>217523.7</v>
      </c>
      <c r="N36" s="96">
        <f t="shared" si="7"/>
        <v>456526</v>
      </c>
      <c r="O36" s="96">
        <f t="shared" si="7"/>
        <v>145664.6</v>
      </c>
      <c r="P36" s="96">
        <f>P37+P38+P39</f>
        <v>25538.1</v>
      </c>
      <c r="Q36" s="96">
        <f>Q37+Q38+Q39</f>
        <v>295945.2</v>
      </c>
      <c r="R36" s="96">
        <f>R37+R38+R39</f>
        <v>214764.3</v>
      </c>
      <c r="S36" s="96">
        <f t="shared" si="7"/>
        <v>3424580.6</v>
      </c>
      <c r="T36" s="88">
        <v>2024</v>
      </c>
      <c r="U36" s="89"/>
      <c r="Y36" s="90"/>
    </row>
    <row r="37" spans="1:27" ht="15" x14ac:dyDescent="0.2">
      <c r="A37" s="61" t="s">
        <v>328</v>
      </c>
      <c r="B37" s="61">
        <v>1</v>
      </c>
      <c r="C37" s="61">
        <v>1</v>
      </c>
      <c r="D37" s="61">
        <v>0</v>
      </c>
      <c r="E37" s="61">
        <v>0</v>
      </c>
      <c r="F37" s="61">
        <v>0</v>
      </c>
      <c r="G37" s="61">
        <v>2</v>
      </c>
      <c r="H37" s="62" t="s">
        <v>228</v>
      </c>
      <c r="I37" s="63" t="s">
        <v>259</v>
      </c>
      <c r="J37" s="71">
        <f t="shared" ref="J37:O37" si="8">J41+J57</f>
        <v>293835.7</v>
      </c>
      <c r="K37" s="71">
        <f t="shared" si="8"/>
        <v>11734</v>
      </c>
      <c r="L37" s="71">
        <f t="shared" si="8"/>
        <v>960.5</v>
      </c>
      <c r="M37" s="71">
        <f t="shared" si="8"/>
        <v>4477.6000000000004</v>
      </c>
      <c r="N37" s="71">
        <f t="shared" si="8"/>
        <v>8102.2</v>
      </c>
      <c r="O37" s="71">
        <f t="shared" si="8"/>
        <v>1672.8</v>
      </c>
      <c r="P37" s="71">
        <f t="shared" ref="P37:R39" si="9">P41+P57</f>
        <v>0</v>
      </c>
      <c r="Q37" s="71">
        <f t="shared" si="9"/>
        <v>25094.5</v>
      </c>
      <c r="R37" s="71">
        <f t="shared" si="9"/>
        <v>16976.400000000001</v>
      </c>
      <c r="S37" s="66">
        <f>SUM(J37:R37)</f>
        <v>362853.7</v>
      </c>
      <c r="T37" s="67">
        <v>2024</v>
      </c>
    </row>
    <row r="38" spans="1:27" ht="15" x14ac:dyDescent="0.2">
      <c r="A38" s="61" t="s">
        <v>328</v>
      </c>
      <c r="B38" s="61">
        <v>1</v>
      </c>
      <c r="C38" s="61">
        <v>1</v>
      </c>
      <c r="D38" s="61">
        <v>0</v>
      </c>
      <c r="E38" s="61">
        <v>0</v>
      </c>
      <c r="F38" s="61">
        <v>0</v>
      </c>
      <c r="G38" s="61">
        <v>3</v>
      </c>
      <c r="H38" s="62" t="s">
        <v>229</v>
      </c>
      <c r="I38" s="63" t="s">
        <v>259</v>
      </c>
      <c r="J38" s="71">
        <f t="shared" ref="J38:O38" si="10">J42+J58</f>
        <v>213125.4</v>
      </c>
      <c r="K38" s="71">
        <f t="shared" si="10"/>
        <v>297396.90000000002</v>
      </c>
      <c r="L38" s="71">
        <f t="shared" si="10"/>
        <v>187073.5</v>
      </c>
      <c r="M38" s="71">
        <f t="shared" si="10"/>
        <v>32392.6</v>
      </c>
      <c r="N38" s="71">
        <f t="shared" si="10"/>
        <v>43153.9</v>
      </c>
      <c r="O38" s="71">
        <f t="shared" si="10"/>
        <v>37901.4</v>
      </c>
      <c r="P38" s="71">
        <f t="shared" si="9"/>
        <v>25538.1</v>
      </c>
      <c r="Q38" s="71">
        <f t="shared" si="9"/>
        <v>4500</v>
      </c>
      <c r="R38" s="71">
        <f t="shared" si="9"/>
        <v>4500</v>
      </c>
      <c r="S38" s="66">
        <f>SUM(J38:R38)</f>
        <v>845581.8</v>
      </c>
      <c r="T38" s="67">
        <v>2024</v>
      </c>
    </row>
    <row r="39" spans="1:27" ht="15" x14ac:dyDescent="0.2">
      <c r="A39" s="61" t="s">
        <v>328</v>
      </c>
      <c r="B39" s="61">
        <v>1</v>
      </c>
      <c r="C39" s="61">
        <v>1</v>
      </c>
      <c r="D39" s="61">
        <v>0</v>
      </c>
      <c r="E39" s="61">
        <v>0</v>
      </c>
      <c r="F39" s="61">
        <v>0</v>
      </c>
      <c r="G39" s="61">
        <v>5</v>
      </c>
      <c r="H39" s="62" t="s">
        <v>331</v>
      </c>
      <c r="I39" s="63" t="s">
        <v>259</v>
      </c>
      <c r="J39" s="71">
        <f t="shared" ref="J39:O39" si="11">J43+J59</f>
        <v>446875.7</v>
      </c>
      <c r="K39" s="71">
        <f t="shared" si="11"/>
        <v>607081.1</v>
      </c>
      <c r="L39" s="71">
        <f t="shared" si="11"/>
        <v>10535.9</v>
      </c>
      <c r="M39" s="71">
        <f t="shared" si="11"/>
        <v>180653.5</v>
      </c>
      <c r="N39" s="71">
        <f t="shared" si="11"/>
        <v>405269.9</v>
      </c>
      <c r="O39" s="71">
        <f t="shared" si="11"/>
        <v>106090.4</v>
      </c>
      <c r="P39" s="71">
        <f t="shared" si="9"/>
        <v>0</v>
      </c>
      <c r="Q39" s="71">
        <f t="shared" si="9"/>
        <v>266350.7</v>
      </c>
      <c r="R39" s="71">
        <f t="shared" si="9"/>
        <v>193287.9</v>
      </c>
      <c r="S39" s="66">
        <f>SUM(J39:R39)</f>
        <v>2216145.1</v>
      </c>
      <c r="T39" s="67">
        <v>2024</v>
      </c>
    </row>
    <row r="40" spans="1:27" ht="15" x14ac:dyDescent="0.2">
      <c r="A40" s="61" t="s">
        <v>328</v>
      </c>
      <c r="B40" s="61">
        <v>1</v>
      </c>
      <c r="C40" s="61">
        <v>1</v>
      </c>
      <c r="D40" s="61">
        <v>1</v>
      </c>
      <c r="E40" s="61">
        <v>0</v>
      </c>
      <c r="F40" s="61">
        <v>0</v>
      </c>
      <c r="G40" s="61"/>
      <c r="H40" s="62" t="s">
        <v>56</v>
      </c>
      <c r="I40" s="63" t="s">
        <v>259</v>
      </c>
      <c r="J40" s="71">
        <f t="shared" ref="J40:O40" si="12">SUM(J41:J43)</f>
        <v>770170.7</v>
      </c>
      <c r="K40" s="71">
        <f t="shared" si="12"/>
        <v>799869.8</v>
      </c>
      <c r="L40" s="71">
        <f t="shared" si="12"/>
        <v>186910.6</v>
      </c>
      <c r="M40" s="71">
        <f t="shared" si="12"/>
        <v>182001.3</v>
      </c>
      <c r="N40" s="71">
        <f t="shared" si="12"/>
        <v>361545.2</v>
      </c>
      <c r="O40" s="71">
        <f t="shared" si="12"/>
        <v>125284.6</v>
      </c>
      <c r="P40" s="71">
        <f>SUM(P41:P43)</f>
        <v>25138.1</v>
      </c>
      <c r="Q40" s="71">
        <f>SUM(Q41:Q43)</f>
        <v>150000</v>
      </c>
      <c r="R40" s="71">
        <f>SUM(R41:R43)</f>
        <v>150000</v>
      </c>
      <c r="S40" s="66">
        <f>SUM(J40:O40)</f>
        <v>2425782.2000000002</v>
      </c>
      <c r="T40" s="61">
        <v>2024</v>
      </c>
      <c r="Z40" s="90"/>
    </row>
    <row r="41" spans="1:27" ht="15" x14ac:dyDescent="0.2">
      <c r="A41" s="61" t="s">
        <v>328</v>
      </c>
      <c r="B41" s="61">
        <v>1</v>
      </c>
      <c r="C41" s="61">
        <v>1</v>
      </c>
      <c r="D41" s="61">
        <v>1</v>
      </c>
      <c r="E41" s="61">
        <v>0</v>
      </c>
      <c r="F41" s="61">
        <v>0</v>
      </c>
      <c r="G41" s="61">
        <v>2</v>
      </c>
      <c r="H41" s="62" t="s">
        <v>228</v>
      </c>
      <c r="I41" s="63" t="s">
        <v>259</v>
      </c>
      <c r="J41" s="71">
        <f t="shared" ref="J41:O41" si="13">J47</f>
        <v>223933.5</v>
      </c>
      <c r="K41" s="71">
        <f t="shared" si="13"/>
        <v>7333.7</v>
      </c>
      <c r="L41" s="71">
        <f t="shared" si="13"/>
        <v>0</v>
      </c>
      <c r="M41" s="71">
        <f t="shared" si="13"/>
        <v>3082.8</v>
      </c>
      <c r="N41" s="71">
        <f t="shared" si="13"/>
        <v>6300</v>
      </c>
      <c r="O41" s="71">
        <f t="shared" si="13"/>
        <v>1292.8</v>
      </c>
      <c r="P41" s="71">
        <f>P47</f>
        <v>0</v>
      </c>
      <c r="Q41" s="71">
        <f>Q47</f>
        <v>10500</v>
      </c>
      <c r="R41" s="71">
        <f>R47</f>
        <v>10500</v>
      </c>
      <c r="S41" s="66">
        <f>SUM(J41:O41)</f>
        <v>241942.8</v>
      </c>
      <c r="T41" s="67">
        <v>2024</v>
      </c>
    </row>
    <row r="42" spans="1:27" ht="15" x14ac:dyDescent="0.2">
      <c r="A42" s="61" t="s">
        <v>328</v>
      </c>
      <c r="B42" s="61">
        <v>1</v>
      </c>
      <c r="C42" s="61">
        <v>1</v>
      </c>
      <c r="D42" s="61">
        <v>1</v>
      </c>
      <c r="E42" s="61">
        <v>0</v>
      </c>
      <c r="F42" s="61">
        <v>0</v>
      </c>
      <c r="G42" s="61">
        <v>3</v>
      </c>
      <c r="H42" s="62" t="s">
        <v>229</v>
      </c>
      <c r="I42" s="63" t="s">
        <v>259</v>
      </c>
      <c r="J42" s="71">
        <f t="shared" ref="J42:O42" si="14">J48+J53</f>
        <v>212168.1</v>
      </c>
      <c r="K42" s="71">
        <f t="shared" si="14"/>
        <v>295302.40000000002</v>
      </c>
      <c r="L42" s="71">
        <f t="shared" si="14"/>
        <v>186910.6</v>
      </c>
      <c r="M42" s="71">
        <f t="shared" si="14"/>
        <v>27861.1</v>
      </c>
      <c r="N42" s="71">
        <f t="shared" si="14"/>
        <v>42932.5</v>
      </c>
      <c r="O42" s="71">
        <f t="shared" si="14"/>
        <v>37501.4</v>
      </c>
      <c r="P42" s="71">
        <f>P48+P53</f>
        <v>25138.1</v>
      </c>
      <c r="Q42" s="71">
        <f>Q48+Q53</f>
        <v>4500</v>
      </c>
      <c r="R42" s="71">
        <f>R48+R53</f>
        <v>4500</v>
      </c>
      <c r="S42" s="66">
        <f>SUM(J42:O42)</f>
        <v>802676.1</v>
      </c>
      <c r="T42" s="67">
        <v>2024</v>
      </c>
    </row>
    <row r="43" spans="1:27" ht="15" x14ac:dyDescent="0.2">
      <c r="A43" s="61" t="s">
        <v>328</v>
      </c>
      <c r="B43" s="61">
        <v>1</v>
      </c>
      <c r="C43" s="61">
        <v>1</v>
      </c>
      <c r="D43" s="61">
        <v>1</v>
      </c>
      <c r="E43" s="61">
        <v>0</v>
      </c>
      <c r="F43" s="61">
        <v>0</v>
      </c>
      <c r="G43" s="61">
        <v>5</v>
      </c>
      <c r="H43" s="62" t="s">
        <v>331</v>
      </c>
      <c r="I43" s="63" t="s">
        <v>259</v>
      </c>
      <c r="J43" s="71">
        <f t="shared" ref="J43:O43" si="15">J49</f>
        <v>334069.10000000003</v>
      </c>
      <c r="K43" s="71">
        <f t="shared" si="15"/>
        <v>497233.7</v>
      </c>
      <c r="L43" s="71">
        <f t="shared" si="15"/>
        <v>0</v>
      </c>
      <c r="M43" s="71">
        <f t="shared" si="15"/>
        <v>151057.4</v>
      </c>
      <c r="N43" s="71">
        <f t="shared" si="15"/>
        <v>312312.7</v>
      </c>
      <c r="O43" s="71">
        <f t="shared" si="15"/>
        <v>86490.4</v>
      </c>
      <c r="P43" s="71">
        <f>P49</f>
        <v>0</v>
      </c>
      <c r="Q43" s="71">
        <f>Q49</f>
        <v>135000</v>
      </c>
      <c r="R43" s="71">
        <f>R49</f>
        <v>135000</v>
      </c>
      <c r="S43" s="66">
        <f>SUM(J43:O43)</f>
        <v>1381163.3</v>
      </c>
      <c r="T43" s="67">
        <v>2024</v>
      </c>
    </row>
    <row r="44" spans="1:27" ht="45" x14ac:dyDescent="0.2">
      <c r="A44" s="61" t="s">
        <v>328</v>
      </c>
      <c r="B44" s="61">
        <v>1</v>
      </c>
      <c r="C44" s="61">
        <v>1</v>
      </c>
      <c r="D44" s="61">
        <v>1</v>
      </c>
      <c r="E44" s="61">
        <v>0</v>
      </c>
      <c r="F44" s="61">
        <v>0</v>
      </c>
      <c r="G44" s="61"/>
      <c r="H44" s="62" t="s">
        <v>107</v>
      </c>
      <c r="I44" s="63" t="s">
        <v>258</v>
      </c>
      <c r="J44" s="93">
        <v>7.2692885893021683E-2</v>
      </c>
      <c r="K44" s="93">
        <v>0.11160470409711684</v>
      </c>
      <c r="L44" s="93">
        <v>2.1763570632526028E-2</v>
      </c>
      <c r="M44" s="93">
        <v>2.2239742470536884E-2</v>
      </c>
      <c r="N44" s="93">
        <v>3.2941607997284607E-2</v>
      </c>
      <c r="O44" s="93">
        <v>3.6062245907043176E-2</v>
      </c>
      <c r="P44" s="93">
        <v>2.2078384863612546E-2</v>
      </c>
      <c r="Q44" s="93">
        <v>1.6620959029335993E-2</v>
      </c>
      <c r="R44" s="93">
        <v>1.6696349065004452E-2</v>
      </c>
      <c r="S44" s="93">
        <f>R44</f>
        <v>1.6696349065004452E-2</v>
      </c>
      <c r="T44" s="67">
        <v>2024</v>
      </c>
    </row>
    <row r="45" spans="1:27" ht="45" x14ac:dyDescent="0.2">
      <c r="A45" s="61" t="s">
        <v>328</v>
      </c>
      <c r="B45" s="61">
        <v>1</v>
      </c>
      <c r="C45" s="61">
        <v>1</v>
      </c>
      <c r="D45" s="61">
        <v>1</v>
      </c>
      <c r="E45" s="61">
        <v>0</v>
      </c>
      <c r="F45" s="61">
        <v>0</v>
      </c>
      <c r="G45" s="61"/>
      <c r="H45" s="62" t="s">
        <v>109</v>
      </c>
      <c r="I45" s="63" t="s">
        <v>261</v>
      </c>
      <c r="J45" s="53">
        <v>36.42967083412092</v>
      </c>
      <c r="K45" s="53">
        <v>45.938578429950987</v>
      </c>
      <c r="L45" s="53">
        <v>6.8300547660075415</v>
      </c>
      <c r="M45" s="53">
        <v>5.9395423050862277</v>
      </c>
      <c r="N45" s="53">
        <v>8.2397324803084935</v>
      </c>
      <c r="O45" s="53">
        <v>7.3009575482138693</v>
      </c>
      <c r="P45" s="53">
        <v>6.0785930701414674</v>
      </c>
      <c r="Q45" s="53">
        <v>5.2967972032910771</v>
      </c>
      <c r="R45" s="53">
        <v>4.9425022241260015</v>
      </c>
      <c r="S45" s="53">
        <f>R45</f>
        <v>4.9425022241260015</v>
      </c>
      <c r="T45" s="67">
        <v>2024</v>
      </c>
      <c r="Y45" s="97"/>
      <c r="Z45" s="97"/>
      <c r="AA45" s="97"/>
    </row>
    <row r="46" spans="1:27" ht="30" x14ac:dyDescent="0.2">
      <c r="A46" s="61" t="s">
        <v>328</v>
      </c>
      <c r="B46" s="61">
        <v>1</v>
      </c>
      <c r="C46" s="61">
        <v>1</v>
      </c>
      <c r="D46" s="61">
        <v>1</v>
      </c>
      <c r="E46" s="61">
        <v>0</v>
      </c>
      <c r="F46" s="61">
        <v>1</v>
      </c>
      <c r="G46" s="61"/>
      <c r="H46" s="62" t="s">
        <v>65</v>
      </c>
      <c r="I46" s="63" t="s">
        <v>259</v>
      </c>
      <c r="J46" s="66">
        <f>J47+J48+J49</f>
        <v>706640.8</v>
      </c>
      <c r="K46" s="66">
        <f t="shared" ref="K46:R46" si="16">K47+K48+K49</f>
        <v>758303.60000000009</v>
      </c>
      <c r="L46" s="66">
        <f t="shared" si="16"/>
        <v>176038.2</v>
      </c>
      <c r="M46" s="66">
        <f t="shared" si="16"/>
        <v>179826.9</v>
      </c>
      <c r="N46" s="66">
        <f t="shared" si="16"/>
        <v>361545.2</v>
      </c>
      <c r="O46" s="66">
        <f t="shared" si="16"/>
        <v>125284.6</v>
      </c>
      <c r="P46" s="66">
        <f t="shared" si="16"/>
        <v>25138.1</v>
      </c>
      <c r="Q46" s="66">
        <f t="shared" si="16"/>
        <v>150000</v>
      </c>
      <c r="R46" s="66">
        <f t="shared" si="16"/>
        <v>150000</v>
      </c>
      <c r="S46" s="66">
        <f t="shared" ref="S46:S53" si="17">SUM(J46:R46)</f>
        <v>2632777.4000000004</v>
      </c>
      <c r="T46" s="67">
        <v>2024</v>
      </c>
      <c r="V46" s="98"/>
      <c r="X46" s="99"/>
    </row>
    <row r="47" spans="1:27" ht="15" x14ac:dyDescent="0.2">
      <c r="A47" s="61" t="s">
        <v>328</v>
      </c>
      <c r="B47" s="61">
        <v>1</v>
      </c>
      <c r="C47" s="61">
        <v>1</v>
      </c>
      <c r="D47" s="61">
        <v>1</v>
      </c>
      <c r="E47" s="61">
        <v>0</v>
      </c>
      <c r="F47" s="61">
        <v>1</v>
      </c>
      <c r="G47" s="61">
        <v>2</v>
      </c>
      <c r="H47" s="62" t="s">
        <v>228</v>
      </c>
      <c r="I47" s="63" t="s">
        <v>259</v>
      </c>
      <c r="J47" s="71">
        <f>64684.1-44684.1+131472.9+44684.1+0.1+3000-3000+2124.8+9182.9+16468.7</f>
        <v>223933.5</v>
      </c>
      <c r="K47" s="71">
        <v>7333.7</v>
      </c>
      <c r="L47" s="71">
        <v>0</v>
      </c>
      <c r="M47" s="71">
        <f>8028.6-4945.8</f>
        <v>3082.8</v>
      </c>
      <c r="N47" s="71">
        <v>6300</v>
      </c>
      <c r="O47" s="71">
        <v>1292.8</v>
      </c>
      <c r="P47" s="71"/>
      <c r="Q47" s="71">
        <v>10500</v>
      </c>
      <c r="R47" s="71">
        <v>10500</v>
      </c>
      <c r="S47" s="66">
        <f t="shared" si="17"/>
        <v>262942.8</v>
      </c>
      <c r="T47" s="67">
        <v>2024</v>
      </c>
      <c r="U47" s="100"/>
      <c r="W47" s="90"/>
      <c r="X47" s="101"/>
    </row>
    <row r="48" spans="1:27" ht="15" x14ac:dyDescent="0.2">
      <c r="A48" s="61" t="s">
        <v>328</v>
      </c>
      <c r="B48" s="61">
        <v>1</v>
      </c>
      <c r="C48" s="61">
        <v>1</v>
      </c>
      <c r="D48" s="61">
        <v>1</v>
      </c>
      <c r="E48" s="61">
        <v>0</v>
      </c>
      <c r="F48" s="61">
        <v>1</v>
      </c>
      <c r="G48" s="61">
        <v>3</v>
      </c>
      <c r="H48" s="62" t="s">
        <v>229</v>
      </c>
      <c r="I48" s="63" t="s">
        <v>259</v>
      </c>
      <c r="J48" s="71">
        <f>119638.7+24972.9-3000+3000-36.7-194.8+4258.2-0.1</f>
        <v>148638.20000000001</v>
      </c>
      <c r="K48" s="71">
        <f>235820.6+17589.6+341.5-15-0.5</f>
        <v>253736.2</v>
      </c>
      <c r="L48" s="71">
        <v>176038.2</v>
      </c>
      <c r="M48" s="71">
        <f>30993.8-5307.1</f>
        <v>25686.699999999997</v>
      </c>
      <c r="N48" s="71">
        <f>5329.9+37602.6</f>
        <v>42932.5</v>
      </c>
      <c r="O48" s="71">
        <v>37501.4</v>
      </c>
      <c r="P48" s="71">
        <v>25138.1</v>
      </c>
      <c r="Q48" s="71">
        <v>4500</v>
      </c>
      <c r="R48" s="71">
        <v>4500</v>
      </c>
      <c r="S48" s="66">
        <f t="shared" si="17"/>
        <v>718671.3</v>
      </c>
      <c r="T48" s="67">
        <v>2024</v>
      </c>
    </row>
    <row r="49" spans="1:26" ht="15" x14ac:dyDescent="0.2">
      <c r="A49" s="61" t="s">
        <v>328</v>
      </c>
      <c r="B49" s="61">
        <v>1</v>
      </c>
      <c r="C49" s="61">
        <v>1</v>
      </c>
      <c r="D49" s="61">
        <v>1</v>
      </c>
      <c r="E49" s="61">
        <v>0</v>
      </c>
      <c r="F49" s="61">
        <v>1</v>
      </c>
      <c r="G49" s="61">
        <v>5</v>
      </c>
      <c r="H49" s="62" t="s">
        <v>331</v>
      </c>
      <c r="I49" s="63" t="s">
        <v>259</v>
      </c>
      <c r="J49" s="71">
        <f>334069.2-0.1</f>
        <v>334069.10000000003</v>
      </c>
      <c r="K49" s="71">
        <v>497233.7</v>
      </c>
      <c r="L49" s="71">
        <v>0</v>
      </c>
      <c r="M49" s="71">
        <f>393401.9+0.1-242344.6</f>
        <v>151057.4</v>
      </c>
      <c r="N49" s="71">
        <v>312312.7</v>
      </c>
      <c r="O49" s="71">
        <v>86490.4</v>
      </c>
      <c r="P49" s="71"/>
      <c r="Q49" s="71">
        <v>135000</v>
      </c>
      <c r="R49" s="71">
        <v>135000</v>
      </c>
      <c r="S49" s="66">
        <f t="shared" si="17"/>
        <v>1651163.3</v>
      </c>
      <c r="T49" s="67">
        <v>2024</v>
      </c>
      <c r="W49" s="90"/>
      <c r="X49" s="90"/>
    </row>
    <row r="50" spans="1:26" ht="15" x14ac:dyDescent="0.2">
      <c r="A50" s="61" t="s">
        <v>328</v>
      </c>
      <c r="B50" s="61">
        <v>1</v>
      </c>
      <c r="C50" s="61">
        <v>1</v>
      </c>
      <c r="D50" s="61">
        <v>1</v>
      </c>
      <c r="E50" s="61">
        <v>0</v>
      </c>
      <c r="F50" s="61">
        <v>1</v>
      </c>
      <c r="G50" s="61"/>
      <c r="H50" s="62" t="s">
        <v>34</v>
      </c>
      <c r="I50" s="63" t="s">
        <v>260</v>
      </c>
      <c r="J50" s="53">
        <v>7</v>
      </c>
      <c r="K50" s="53">
        <v>1</v>
      </c>
      <c r="L50" s="53">
        <v>1</v>
      </c>
      <c r="M50" s="53">
        <v>2</v>
      </c>
      <c r="N50" s="53">
        <v>2</v>
      </c>
      <c r="O50" s="53">
        <v>1</v>
      </c>
      <c r="P50" s="53">
        <v>1</v>
      </c>
      <c r="Q50" s="53">
        <v>1</v>
      </c>
      <c r="R50" s="53">
        <v>1</v>
      </c>
      <c r="S50" s="95">
        <f t="shared" si="17"/>
        <v>17</v>
      </c>
      <c r="T50" s="67">
        <v>2024</v>
      </c>
      <c r="X50" s="99"/>
    </row>
    <row r="51" spans="1:26" ht="30" x14ac:dyDescent="0.2">
      <c r="A51" s="61" t="s">
        <v>328</v>
      </c>
      <c r="B51" s="61">
        <v>1</v>
      </c>
      <c r="C51" s="61">
        <v>1</v>
      </c>
      <c r="D51" s="61">
        <v>1</v>
      </c>
      <c r="E51" s="61">
        <v>0</v>
      </c>
      <c r="F51" s="61">
        <v>1</v>
      </c>
      <c r="G51" s="61"/>
      <c r="H51" s="62" t="s">
        <v>110</v>
      </c>
      <c r="I51" s="63" t="s">
        <v>258</v>
      </c>
      <c r="J51" s="66">
        <v>13491</v>
      </c>
      <c r="K51" s="66">
        <v>20624.900000000001</v>
      </c>
      <c r="L51" s="71">
        <v>4003.3</v>
      </c>
      <c r="M51" s="71">
        <v>4076.1</v>
      </c>
      <c r="N51" s="71">
        <f>1800.22+4216.96</f>
        <v>6017.18</v>
      </c>
      <c r="O51" s="71">
        <f>4049.35+2514.7</f>
        <v>6564.0499999999993</v>
      </c>
      <c r="P51" s="71">
        <v>4002.48</v>
      </c>
      <c r="Q51" s="71">
        <v>3000</v>
      </c>
      <c r="R51" s="71">
        <v>3000</v>
      </c>
      <c r="S51" s="66">
        <f t="shared" si="17"/>
        <v>64779.01</v>
      </c>
      <c r="T51" s="67">
        <v>2024</v>
      </c>
    </row>
    <row r="52" spans="1:26" ht="45" x14ac:dyDescent="0.2">
      <c r="A52" s="61" t="s">
        <v>328</v>
      </c>
      <c r="B52" s="61">
        <v>1</v>
      </c>
      <c r="C52" s="61">
        <v>1</v>
      </c>
      <c r="D52" s="61">
        <v>1</v>
      </c>
      <c r="E52" s="61">
        <v>0</v>
      </c>
      <c r="F52" s="61">
        <v>1</v>
      </c>
      <c r="G52" s="61"/>
      <c r="H52" s="62" t="s">
        <v>111</v>
      </c>
      <c r="I52" s="63" t="s">
        <v>260</v>
      </c>
      <c r="J52" s="95">
        <v>5</v>
      </c>
      <c r="K52" s="95">
        <v>1</v>
      </c>
      <c r="L52" s="53"/>
      <c r="M52" s="53"/>
      <c r="N52" s="53">
        <v>3</v>
      </c>
      <c r="O52" s="53">
        <v>1</v>
      </c>
      <c r="P52" s="53"/>
      <c r="Q52" s="53"/>
      <c r="R52" s="53"/>
      <c r="S52" s="66">
        <f t="shared" si="17"/>
        <v>10</v>
      </c>
      <c r="T52" s="67">
        <v>2021</v>
      </c>
    </row>
    <row r="53" spans="1:26" ht="30" x14ac:dyDescent="0.2">
      <c r="A53" s="61" t="s">
        <v>328</v>
      </c>
      <c r="B53" s="61">
        <v>1</v>
      </c>
      <c r="C53" s="61">
        <v>1</v>
      </c>
      <c r="D53" s="61">
        <v>1</v>
      </c>
      <c r="E53" s="61">
        <v>0</v>
      </c>
      <c r="F53" s="61">
        <v>2</v>
      </c>
      <c r="G53" s="61">
        <v>3</v>
      </c>
      <c r="H53" s="62" t="s">
        <v>48</v>
      </c>
      <c r="I53" s="63" t="s">
        <v>259</v>
      </c>
      <c r="J53" s="71">
        <f>45588.9+17941</f>
        <v>63529.9</v>
      </c>
      <c r="K53" s="71">
        <f>10000+16000+7964.5+9587.1-1985.4</f>
        <v>41566.199999999997</v>
      </c>
      <c r="L53" s="71">
        <f>10000+872.5-0.1</f>
        <v>10872.4</v>
      </c>
      <c r="M53" s="71">
        <v>2174.4</v>
      </c>
      <c r="N53" s="71">
        <v>0</v>
      </c>
      <c r="O53" s="71">
        <v>0</v>
      </c>
      <c r="P53" s="71">
        <v>0</v>
      </c>
      <c r="Q53" s="71">
        <v>0</v>
      </c>
      <c r="R53" s="71">
        <v>0</v>
      </c>
      <c r="S53" s="66">
        <f t="shared" si="17"/>
        <v>118142.9</v>
      </c>
      <c r="T53" s="67">
        <v>2019</v>
      </c>
    </row>
    <row r="54" spans="1:26" ht="30" x14ac:dyDescent="0.2">
      <c r="A54" s="61" t="s">
        <v>328</v>
      </c>
      <c r="B54" s="61">
        <v>1</v>
      </c>
      <c r="C54" s="61">
        <v>1</v>
      </c>
      <c r="D54" s="61">
        <v>1</v>
      </c>
      <c r="E54" s="61">
        <v>0</v>
      </c>
      <c r="F54" s="61">
        <v>2</v>
      </c>
      <c r="G54" s="61"/>
      <c r="H54" s="62" t="s">
        <v>415</v>
      </c>
      <c r="I54" s="63" t="s">
        <v>260</v>
      </c>
      <c r="J54" s="95">
        <v>14</v>
      </c>
      <c r="K54" s="95">
        <v>18</v>
      </c>
      <c r="L54" s="95">
        <v>4</v>
      </c>
      <c r="M54" s="95">
        <v>5</v>
      </c>
      <c r="N54" s="95"/>
      <c r="O54" s="95"/>
      <c r="P54" s="95"/>
      <c r="Q54" s="95"/>
      <c r="R54" s="95"/>
      <c r="S54" s="95">
        <f t="shared" ref="S54:S59" si="18">SUM(J54:O54)</f>
        <v>41</v>
      </c>
      <c r="T54" s="67">
        <v>2019</v>
      </c>
    </row>
    <row r="55" spans="1:26" ht="30" x14ac:dyDescent="0.2">
      <c r="A55" s="61" t="s">
        <v>328</v>
      </c>
      <c r="B55" s="61">
        <v>1</v>
      </c>
      <c r="C55" s="61">
        <v>1</v>
      </c>
      <c r="D55" s="61">
        <v>1</v>
      </c>
      <c r="E55" s="61">
        <v>0</v>
      </c>
      <c r="F55" s="61">
        <v>2</v>
      </c>
      <c r="G55" s="61"/>
      <c r="H55" s="62" t="s">
        <v>367</v>
      </c>
      <c r="I55" s="63" t="s">
        <v>260</v>
      </c>
      <c r="J55" s="95">
        <v>18</v>
      </c>
      <c r="K55" s="95">
        <v>4</v>
      </c>
      <c r="L55" s="95">
        <v>4</v>
      </c>
      <c r="M55" s="95"/>
      <c r="N55" s="95"/>
      <c r="O55" s="95"/>
      <c r="P55" s="95"/>
      <c r="Q55" s="95"/>
      <c r="R55" s="95"/>
      <c r="S55" s="95">
        <f t="shared" si="18"/>
        <v>26</v>
      </c>
      <c r="T55" s="67">
        <v>2018</v>
      </c>
    </row>
    <row r="56" spans="1:26" ht="15" x14ac:dyDescent="0.2">
      <c r="A56" s="61" t="s">
        <v>328</v>
      </c>
      <c r="B56" s="61">
        <v>1</v>
      </c>
      <c r="C56" s="61">
        <v>1</v>
      </c>
      <c r="D56" s="61">
        <v>2</v>
      </c>
      <c r="E56" s="61">
        <v>0</v>
      </c>
      <c r="F56" s="61">
        <v>0</v>
      </c>
      <c r="G56" s="61"/>
      <c r="H56" s="62" t="s">
        <v>60</v>
      </c>
      <c r="I56" s="63" t="s">
        <v>259</v>
      </c>
      <c r="J56" s="71">
        <f t="shared" ref="J56:O56" si="19">J57+J59+J58</f>
        <v>183666.09999999998</v>
      </c>
      <c r="K56" s="71">
        <f t="shared" si="19"/>
        <v>116342.2</v>
      </c>
      <c r="L56" s="71">
        <f t="shared" si="19"/>
        <v>11659.3</v>
      </c>
      <c r="M56" s="71">
        <f t="shared" si="19"/>
        <v>35522.399999999994</v>
      </c>
      <c r="N56" s="71">
        <f t="shared" si="19"/>
        <v>94980.799999999988</v>
      </c>
      <c r="O56" s="71">
        <f t="shared" si="19"/>
        <v>20380</v>
      </c>
      <c r="P56" s="71">
        <f>P57+P59+P58</f>
        <v>400</v>
      </c>
      <c r="Q56" s="71">
        <f>Q57+Q59+Q58</f>
        <v>145945.20000000001</v>
      </c>
      <c r="R56" s="71">
        <f>R57+R59+R58</f>
        <v>64764.3</v>
      </c>
      <c r="S56" s="71">
        <f t="shared" si="18"/>
        <v>462550.8</v>
      </c>
      <c r="T56" s="61">
        <v>2024</v>
      </c>
      <c r="Z56" s="90"/>
    </row>
    <row r="57" spans="1:26" ht="15" x14ac:dyDescent="0.2">
      <c r="A57" s="61" t="s">
        <v>328</v>
      </c>
      <c r="B57" s="61">
        <v>1</v>
      </c>
      <c r="C57" s="61">
        <v>1</v>
      </c>
      <c r="D57" s="61">
        <v>2</v>
      </c>
      <c r="E57" s="61">
        <v>0</v>
      </c>
      <c r="F57" s="61">
        <v>0</v>
      </c>
      <c r="G57" s="61">
        <v>2</v>
      </c>
      <c r="H57" s="62" t="s">
        <v>228</v>
      </c>
      <c r="I57" s="63" t="s">
        <v>259</v>
      </c>
      <c r="J57" s="71">
        <f t="shared" ref="J57:O57" si="20">J63</f>
        <v>69902.2</v>
      </c>
      <c r="K57" s="71">
        <f t="shared" si="20"/>
        <v>4400.3</v>
      </c>
      <c r="L57" s="71">
        <f t="shared" si="20"/>
        <v>960.5</v>
      </c>
      <c r="M57" s="71">
        <f t="shared" si="20"/>
        <v>1394.8</v>
      </c>
      <c r="N57" s="71">
        <f t="shared" si="20"/>
        <v>1802.2</v>
      </c>
      <c r="O57" s="71">
        <f t="shared" si="20"/>
        <v>380</v>
      </c>
      <c r="P57" s="71">
        <f>P63</f>
        <v>0</v>
      </c>
      <c r="Q57" s="71">
        <f>Q63</f>
        <v>14594.5</v>
      </c>
      <c r="R57" s="71">
        <f>R63</f>
        <v>6476.4</v>
      </c>
      <c r="S57" s="66">
        <f t="shared" si="18"/>
        <v>78840</v>
      </c>
      <c r="T57" s="61">
        <v>2024</v>
      </c>
    </row>
    <row r="58" spans="1:26" ht="15" x14ac:dyDescent="0.2">
      <c r="A58" s="61" t="s">
        <v>328</v>
      </c>
      <c r="B58" s="61">
        <v>1</v>
      </c>
      <c r="C58" s="61">
        <v>1</v>
      </c>
      <c r="D58" s="61">
        <v>2</v>
      </c>
      <c r="E58" s="61">
        <v>0</v>
      </c>
      <c r="F58" s="61">
        <v>0</v>
      </c>
      <c r="G58" s="61">
        <v>3</v>
      </c>
      <c r="H58" s="62" t="s">
        <v>229</v>
      </c>
      <c r="I58" s="63" t="s">
        <v>259</v>
      </c>
      <c r="J58" s="71">
        <f>J70+J64</f>
        <v>957.3</v>
      </c>
      <c r="K58" s="71">
        <f t="shared" ref="K58:R58" si="21">K70+K64</f>
        <v>2094.5</v>
      </c>
      <c r="L58" s="71">
        <f t="shared" si="21"/>
        <v>162.9</v>
      </c>
      <c r="M58" s="71">
        <f t="shared" si="21"/>
        <v>4531.5</v>
      </c>
      <c r="N58" s="71">
        <f t="shared" si="21"/>
        <v>221.4</v>
      </c>
      <c r="O58" s="71">
        <f t="shared" si="21"/>
        <v>400</v>
      </c>
      <c r="P58" s="71">
        <f t="shared" si="21"/>
        <v>400</v>
      </c>
      <c r="Q58" s="71">
        <f t="shared" si="21"/>
        <v>0</v>
      </c>
      <c r="R58" s="71">
        <f t="shared" si="21"/>
        <v>0</v>
      </c>
      <c r="S58" s="66">
        <f t="shared" si="18"/>
        <v>8367.6</v>
      </c>
      <c r="T58" s="67">
        <v>2022</v>
      </c>
    </row>
    <row r="59" spans="1:26" ht="15" x14ac:dyDescent="0.2">
      <c r="A59" s="61" t="s">
        <v>328</v>
      </c>
      <c r="B59" s="61">
        <v>1</v>
      </c>
      <c r="C59" s="61">
        <v>1</v>
      </c>
      <c r="D59" s="61">
        <v>2</v>
      </c>
      <c r="E59" s="61">
        <v>0</v>
      </c>
      <c r="F59" s="61">
        <v>0</v>
      </c>
      <c r="G59" s="61">
        <v>5</v>
      </c>
      <c r="H59" s="62" t="s">
        <v>331</v>
      </c>
      <c r="I59" s="63" t="s">
        <v>259</v>
      </c>
      <c r="J59" s="71">
        <f t="shared" ref="J59:O59" si="22">J65</f>
        <v>112806.59999999999</v>
      </c>
      <c r="K59" s="71">
        <f t="shared" si="22"/>
        <v>109847.4</v>
      </c>
      <c r="L59" s="71">
        <f t="shared" si="22"/>
        <v>10535.9</v>
      </c>
      <c r="M59" s="71">
        <f t="shared" si="22"/>
        <v>29596.1</v>
      </c>
      <c r="N59" s="71">
        <f t="shared" si="22"/>
        <v>92957.2</v>
      </c>
      <c r="O59" s="71">
        <f t="shared" si="22"/>
        <v>19600</v>
      </c>
      <c r="P59" s="71">
        <f>P65</f>
        <v>0</v>
      </c>
      <c r="Q59" s="71">
        <f>Q65</f>
        <v>131350.70000000001</v>
      </c>
      <c r="R59" s="71">
        <f>R65</f>
        <v>58287.9</v>
      </c>
      <c r="S59" s="66">
        <f t="shared" si="18"/>
        <v>375343.2</v>
      </c>
      <c r="T59" s="61">
        <v>2024</v>
      </c>
    </row>
    <row r="60" spans="1:26" ht="45" x14ac:dyDescent="0.2">
      <c r="A60" s="61" t="s">
        <v>328</v>
      </c>
      <c r="B60" s="61">
        <v>1</v>
      </c>
      <c r="C60" s="61">
        <v>1</v>
      </c>
      <c r="D60" s="61">
        <v>2</v>
      </c>
      <c r="E60" s="61">
        <v>0</v>
      </c>
      <c r="F60" s="61">
        <v>0</v>
      </c>
      <c r="G60" s="61"/>
      <c r="H60" s="62" t="s">
        <v>85</v>
      </c>
      <c r="I60" s="63" t="s">
        <v>261</v>
      </c>
      <c r="J60" s="71">
        <v>9.8015608021989067</v>
      </c>
      <c r="K60" s="71">
        <v>3.4822028076521523</v>
      </c>
      <c r="L60" s="71">
        <v>0.20311180608310694</v>
      </c>
      <c r="M60" s="71">
        <v>0.98698365543284505</v>
      </c>
      <c r="N60" s="71">
        <v>2.417663185364118</v>
      </c>
      <c r="O60" s="71">
        <v>0.56764384662717393</v>
      </c>
      <c r="P60" s="71">
        <v>0.58259101528136259</v>
      </c>
      <c r="Q60" s="71">
        <v>0.59834664854075248</v>
      </c>
      <c r="R60" s="71">
        <v>0.6149781621254633</v>
      </c>
      <c r="S60" s="71">
        <f>R60</f>
        <v>0.6149781621254633</v>
      </c>
      <c r="T60" s="61">
        <v>2024</v>
      </c>
    </row>
    <row r="61" spans="1:26" ht="60" x14ac:dyDescent="0.2">
      <c r="A61" s="61" t="s">
        <v>328</v>
      </c>
      <c r="B61" s="61">
        <v>1</v>
      </c>
      <c r="C61" s="61">
        <v>1</v>
      </c>
      <c r="D61" s="61">
        <v>2</v>
      </c>
      <c r="E61" s="61">
        <v>0</v>
      </c>
      <c r="F61" s="61">
        <v>0</v>
      </c>
      <c r="G61" s="61"/>
      <c r="H61" s="62" t="s">
        <v>112</v>
      </c>
      <c r="I61" s="63" t="s">
        <v>261</v>
      </c>
      <c r="J61" s="71">
        <v>23.390495449949441</v>
      </c>
      <c r="K61" s="71">
        <v>29.5534060506277</v>
      </c>
      <c r="L61" s="71">
        <v>2.0066445182724255</v>
      </c>
      <c r="M61" s="71">
        <v>5.9473684210526319</v>
      </c>
      <c r="N61" s="71">
        <v>13.816817755548607</v>
      </c>
      <c r="O61" s="71">
        <v>12.641993404177354</v>
      </c>
      <c r="P61" s="71">
        <v>12.038590604026846</v>
      </c>
      <c r="Q61" s="71">
        <v>15.69811320754717</v>
      </c>
      <c r="R61" s="71">
        <v>16.5</v>
      </c>
      <c r="S61" s="71">
        <f>R61</f>
        <v>16.5</v>
      </c>
      <c r="T61" s="61">
        <v>2024</v>
      </c>
    </row>
    <row r="62" spans="1:26" ht="45" x14ac:dyDescent="0.2">
      <c r="A62" s="61" t="s">
        <v>328</v>
      </c>
      <c r="B62" s="61">
        <v>1</v>
      </c>
      <c r="C62" s="61">
        <v>1</v>
      </c>
      <c r="D62" s="61">
        <v>2</v>
      </c>
      <c r="E62" s="61">
        <v>0</v>
      </c>
      <c r="F62" s="61">
        <v>1</v>
      </c>
      <c r="G62" s="102"/>
      <c r="H62" s="62" t="s">
        <v>333</v>
      </c>
      <c r="I62" s="63" t="s">
        <v>259</v>
      </c>
      <c r="J62" s="66">
        <f t="shared" ref="J62:R62" si="23">J63+J65</f>
        <v>182708.8</v>
      </c>
      <c r="K62" s="66">
        <f t="shared" si="23"/>
        <v>114247.7</v>
      </c>
      <c r="L62" s="66">
        <f t="shared" si="23"/>
        <v>11496.4</v>
      </c>
      <c r="M62" s="66">
        <f>M63+M65+M64</f>
        <v>35311.899999999994</v>
      </c>
      <c r="N62" s="66">
        <f>N63+N65+N64</f>
        <v>94854.299999999988</v>
      </c>
      <c r="O62" s="66">
        <f>O63+O65+O64</f>
        <v>20000</v>
      </c>
      <c r="P62" s="66">
        <f t="shared" si="23"/>
        <v>0</v>
      </c>
      <c r="Q62" s="66">
        <f t="shared" si="23"/>
        <v>145945.20000000001</v>
      </c>
      <c r="R62" s="66">
        <f t="shared" si="23"/>
        <v>64764.3</v>
      </c>
      <c r="S62" s="66">
        <f>SUM(J62:R62)</f>
        <v>669328.60000000009</v>
      </c>
      <c r="T62" s="61">
        <v>2024</v>
      </c>
    </row>
    <row r="63" spans="1:26" ht="15" x14ac:dyDescent="0.2">
      <c r="A63" s="61" t="s">
        <v>328</v>
      </c>
      <c r="B63" s="61">
        <v>1</v>
      </c>
      <c r="C63" s="61">
        <v>1</v>
      </c>
      <c r="D63" s="61">
        <v>2</v>
      </c>
      <c r="E63" s="61">
        <v>0</v>
      </c>
      <c r="F63" s="61">
        <v>1</v>
      </c>
      <c r="G63" s="61">
        <v>2</v>
      </c>
      <c r="H63" s="62" t="s">
        <v>228</v>
      </c>
      <c r="I63" s="63" t="s">
        <v>259</v>
      </c>
      <c r="J63" s="66">
        <f>18137+70358.7-18593.5</f>
        <v>69902.2</v>
      </c>
      <c r="K63" s="66">
        <v>4400.3</v>
      </c>
      <c r="L63" s="66">
        <v>960.5</v>
      </c>
      <c r="M63" s="66">
        <v>1394.8</v>
      </c>
      <c r="N63" s="66">
        <v>1802.2</v>
      </c>
      <c r="O63" s="66">
        <v>380</v>
      </c>
      <c r="P63" s="66"/>
      <c r="Q63" s="66">
        <v>14594.5</v>
      </c>
      <c r="R63" s="66">
        <v>6476.4</v>
      </c>
      <c r="S63" s="66">
        <f>SUM(J63:R63)</f>
        <v>99910.9</v>
      </c>
      <c r="T63" s="61">
        <v>2024</v>
      </c>
    </row>
    <row r="64" spans="1:26" ht="15" x14ac:dyDescent="0.2">
      <c r="A64" s="61" t="s">
        <v>328</v>
      </c>
      <c r="B64" s="61">
        <v>1</v>
      </c>
      <c r="C64" s="61">
        <v>1</v>
      </c>
      <c r="D64" s="61">
        <v>2</v>
      </c>
      <c r="E64" s="61">
        <v>0</v>
      </c>
      <c r="F64" s="61">
        <v>1</v>
      </c>
      <c r="G64" s="61">
        <v>3</v>
      </c>
      <c r="H64" s="62" t="s">
        <v>229</v>
      </c>
      <c r="I64" s="63" t="s">
        <v>259</v>
      </c>
      <c r="J64" s="66"/>
      <c r="K64" s="66"/>
      <c r="L64" s="66"/>
      <c r="M64" s="66">
        <f>22.8+4298.2</f>
        <v>4321</v>
      </c>
      <c r="N64" s="66">
        <v>94.9</v>
      </c>
      <c r="O64" s="66">
        <v>20</v>
      </c>
      <c r="P64" s="66"/>
      <c r="Q64" s="66"/>
      <c r="R64" s="66"/>
      <c r="S64" s="66">
        <f>SUM(J64:R64)</f>
        <v>4435.8999999999996</v>
      </c>
      <c r="T64" s="61">
        <v>2020</v>
      </c>
    </row>
    <row r="65" spans="1:26" ht="15" x14ac:dyDescent="0.2">
      <c r="A65" s="61" t="s">
        <v>328</v>
      </c>
      <c r="B65" s="61">
        <v>1</v>
      </c>
      <c r="C65" s="61">
        <v>1</v>
      </c>
      <c r="D65" s="61">
        <v>2</v>
      </c>
      <c r="E65" s="61">
        <v>0</v>
      </c>
      <c r="F65" s="61">
        <v>1</v>
      </c>
      <c r="G65" s="61">
        <v>5</v>
      </c>
      <c r="H65" s="62" t="s">
        <v>331</v>
      </c>
      <c r="I65" s="63" t="s">
        <v>259</v>
      </c>
      <c r="J65" s="66">
        <f>61621+66440.9-15255.3</f>
        <v>112806.59999999999</v>
      </c>
      <c r="K65" s="66">
        <v>109847.4</v>
      </c>
      <c r="L65" s="66">
        <v>10535.9</v>
      </c>
      <c r="M65" s="66">
        <v>29596.1</v>
      </c>
      <c r="N65" s="66">
        <v>92957.2</v>
      </c>
      <c r="O65" s="66">
        <v>19600</v>
      </c>
      <c r="P65" s="66"/>
      <c r="Q65" s="66">
        <v>131350.70000000001</v>
      </c>
      <c r="R65" s="66">
        <v>58287.9</v>
      </c>
      <c r="S65" s="66">
        <f t="shared" ref="S65:S73" si="24">SUM(J65:R65)</f>
        <v>564981.80000000005</v>
      </c>
      <c r="T65" s="61">
        <v>2024</v>
      </c>
    </row>
    <row r="66" spans="1:26" ht="15" x14ac:dyDescent="0.25">
      <c r="A66" s="61" t="s">
        <v>328</v>
      </c>
      <c r="B66" s="61">
        <v>1</v>
      </c>
      <c r="C66" s="61">
        <v>1</v>
      </c>
      <c r="D66" s="61">
        <v>2</v>
      </c>
      <c r="E66" s="61">
        <v>0</v>
      </c>
      <c r="F66" s="61">
        <v>1</v>
      </c>
      <c r="G66" s="102"/>
      <c r="H66" s="62" t="s">
        <v>57</v>
      </c>
      <c r="I66" s="103" t="s">
        <v>258</v>
      </c>
      <c r="J66" s="65">
        <v>5015.34</v>
      </c>
      <c r="K66" s="65">
        <v>3588.78</v>
      </c>
      <c r="L66" s="65">
        <v>220.23</v>
      </c>
      <c r="M66" s="104">
        <v>1036.24</v>
      </c>
      <c r="N66" s="105">
        <v>2816.98</v>
      </c>
      <c r="O66" s="104">
        <f>O62/40</f>
        <v>500</v>
      </c>
      <c r="P66" s="104"/>
      <c r="Q66" s="104">
        <v>3072.53</v>
      </c>
      <c r="R66" s="104">
        <v>1363.46</v>
      </c>
      <c r="S66" s="66">
        <f t="shared" si="24"/>
        <v>17613.560000000001</v>
      </c>
      <c r="T66" s="61">
        <v>2024</v>
      </c>
    </row>
    <row r="67" spans="1:26" ht="60" x14ac:dyDescent="0.2">
      <c r="A67" s="61" t="s">
        <v>328</v>
      </c>
      <c r="B67" s="61">
        <v>1</v>
      </c>
      <c r="C67" s="61">
        <v>1</v>
      </c>
      <c r="D67" s="61">
        <v>2</v>
      </c>
      <c r="E67" s="61">
        <v>0</v>
      </c>
      <c r="F67" s="61">
        <v>2</v>
      </c>
      <c r="G67" s="102"/>
      <c r="H67" s="62" t="s">
        <v>146</v>
      </c>
      <c r="I67" s="63" t="s">
        <v>248</v>
      </c>
      <c r="J67" s="63" t="s">
        <v>262</v>
      </c>
      <c r="K67" s="63" t="s">
        <v>262</v>
      </c>
      <c r="L67" s="82" t="s">
        <v>262</v>
      </c>
      <c r="M67" s="63" t="s">
        <v>262</v>
      </c>
      <c r="N67" s="63" t="s">
        <v>262</v>
      </c>
      <c r="O67" s="63" t="s">
        <v>262</v>
      </c>
      <c r="P67" s="63" t="s">
        <v>262</v>
      </c>
      <c r="Q67" s="63" t="s">
        <v>262</v>
      </c>
      <c r="R67" s="63" t="s">
        <v>262</v>
      </c>
      <c r="S67" s="63" t="s">
        <v>262</v>
      </c>
      <c r="T67" s="61">
        <v>2024</v>
      </c>
    </row>
    <row r="68" spans="1:26" ht="75" x14ac:dyDescent="0.2">
      <c r="A68" s="61" t="s">
        <v>328</v>
      </c>
      <c r="B68" s="61">
        <v>1</v>
      </c>
      <c r="C68" s="61">
        <v>1</v>
      </c>
      <c r="D68" s="61">
        <v>2</v>
      </c>
      <c r="E68" s="61">
        <v>0</v>
      </c>
      <c r="F68" s="61">
        <v>2</v>
      </c>
      <c r="G68" s="102"/>
      <c r="H68" s="62" t="s">
        <v>143</v>
      </c>
      <c r="I68" s="83" t="s">
        <v>260</v>
      </c>
      <c r="J68" s="95">
        <v>15</v>
      </c>
      <c r="K68" s="95">
        <v>17</v>
      </c>
      <c r="L68" s="95">
        <v>2</v>
      </c>
      <c r="M68" s="95">
        <v>1</v>
      </c>
      <c r="N68" s="95">
        <v>3</v>
      </c>
      <c r="O68" s="95">
        <v>2</v>
      </c>
      <c r="P68" s="95">
        <v>2</v>
      </c>
      <c r="Q68" s="95">
        <v>2</v>
      </c>
      <c r="R68" s="95">
        <v>2</v>
      </c>
      <c r="S68" s="95">
        <f t="shared" si="24"/>
        <v>46</v>
      </c>
      <c r="T68" s="61">
        <v>2024</v>
      </c>
    </row>
    <row r="69" spans="1:26" ht="75" x14ac:dyDescent="0.2">
      <c r="A69" s="61" t="s">
        <v>328</v>
      </c>
      <c r="B69" s="61">
        <v>1</v>
      </c>
      <c r="C69" s="61">
        <v>1</v>
      </c>
      <c r="D69" s="61">
        <v>2</v>
      </c>
      <c r="E69" s="61">
        <v>0</v>
      </c>
      <c r="F69" s="61">
        <v>2</v>
      </c>
      <c r="G69" s="102"/>
      <c r="H69" s="62" t="s">
        <v>144</v>
      </c>
      <c r="I69" s="83" t="s">
        <v>260</v>
      </c>
      <c r="J69" s="95">
        <v>11</v>
      </c>
      <c r="K69" s="95">
        <v>3</v>
      </c>
      <c r="L69" s="95">
        <v>1</v>
      </c>
      <c r="M69" s="95">
        <v>8</v>
      </c>
      <c r="N69" s="95">
        <v>13</v>
      </c>
      <c r="O69" s="95">
        <v>6</v>
      </c>
      <c r="P69" s="95">
        <v>6</v>
      </c>
      <c r="Q69" s="95">
        <v>1</v>
      </c>
      <c r="R69" s="95">
        <v>1</v>
      </c>
      <c r="S69" s="95">
        <f t="shared" si="24"/>
        <v>50</v>
      </c>
      <c r="T69" s="61">
        <v>2024</v>
      </c>
    </row>
    <row r="70" spans="1:26" ht="45" x14ac:dyDescent="0.2">
      <c r="A70" s="61" t="s">
        <v>328</v>
      </c>
      <c r="B70" s="61">
        <v>1</v>
      </c>
      <c r="C70" s="61">
        <v>1</v>
      </c>
      <c r="D70" s="61">
        <v>2</v>
      </c>
      <c r="E70" s="61">
        <v>0</v>
      </c>
      <c r="F70" s="61">
        <v>3</v>
      </c>
      <c r="G70" s="61">
        <v>3</v>
      </c>
      <c r="H70" s="62" t="s">
        <v>75</v>
      </c>
      <c r="I70" s="63" t="s">
        <v>259</v>
      </c>
      <c r="J70" s="63">
        <f>357.3+600</f>
        <v>957.3</v>
      </c>
      <c r="K70" s="106">
        <f>1807+287.5</f>
        <v>2094.5</v>
      </c>
      <c r="L70" s="82">
        <v>162.9</v>
      </c>
      <c r="M70" s="82">
        <v>210.5</v>
      </c>
      <c r="N70" s="82">
        <v>126.5</v>
      </c>
      <c r="O70" s="82">
        <v>380</v>
      </c>
      <c r="P70" s="106">
        <v>400</v>
      </c>
      <c r="Q70" s="106">
        <v>0</v>
      </c>
      <c r="R70" s="106">
        <v>0</v>
      </c>
      <c r="S70" s="66">
        <f t="shared" si="24"/>
        <v>4331.7000000000007</v>
      </c>
      <c r="T70" s="61">
        <v>2022</v>
      </c>
    </row>
    <row r="71" spans="1:26" ht="30" x14ac:dyDescent="0.2">
      <c r="A71" s="61" t="s">
        <v>328</v>
      </c>
      <c r="B71" s="61">
        <v>1</v>
      </c>
      <c r="C71" s="61">
        <v>1</v>
      </c>
      <c r="D71" s="61">
        <v>2</v>
      </c>
      <c r="E71" s="61">
        <v>0</v>
      </c>
      <c r="F71" s="61">
        <v>3</v>
      </c>
      <c r="G71" s="102"/>
      <c r="H71" s="62" t="s">
        <v>35</v>
      </c>
      <c r="I71" s="83" t="s">
        <v>260</v>
      </c>
      <c r="J71" s="95">
        <v>40</v>
      </c>
      <c r="K71" s="95">
        <v>12</v>
      </c>
      <c r="L71" s="95"/>
      <c r="M71" s="95"/>
      <c r="N71" s="95"/>
      <c r="O71" s="95"/>
      <c r="P71" s="95"/>
      <c r="Q71" s="95"/>
      <c r="R71" s="95"/>
      <c r="S71" s="95">
        <f t="shared" si="24"/>
        <v>52</v>
      </c>
      <c r="T71" s="61">
        <v>2017</v>
      </c>
    </row>
    <row r="72" spans="1:26" ht="30" x14ac:dyDescent="0.2">
      <c r="A72" s="61" t="s">
        <v>328</v>
      </c>
      <c r="B72" s="61">
        <v>1</v>
      </c>
      <c r="C72" s="61">
        <v>1</v>
      </c>
      <c r="D72" s="61">
        <v>2</v>
      </c>
      <c r="E72" s="61">
        <v>0</v>
      </c>
      <c r="F72" s="61">
        <v>3</v>
      </c>
      <c r="G72" s="102"/>
      <c r="H72" s="62" t="s">
        <v>76</v>
      </c>
      <c r="I72" s="83" t="s">
        <v>260</v>
      </c>
      <c r="J72" s="95">
        <v>95</v>
      </c>
      <c r="K72" s="95">
        <v>180</v>
      </c>
      <c r="L72" s="95">
        <v>11</v>
      </c>
      <c r="M72" s="95">
        <v>6</v>
      </c>
      <c r="N72" s="95">
        <v>6</v>
      </c>
      <c r="O72" s="95">
        <v>2</v>
      </c>
      <c r="P72" s="95">
        <v>2</v>
      </c>
      <c r="Q72" s="95"/>
      <c r="R72" s="95"/>
      <c r="S72" s="95">
        <f t="shared" si="24"/>
        <v>302</v>
      </c>
      <c r="T72" s="61">
        <v>2022</v>
      </c>
    </row>
    <row r="73" spans="1:26" ht="30" x14ac:dyDescent="0.2">
      <c r="A73" s="61" t="s">
        <v>328</v>
      </c>
      <c r="B73" s="61">
        <v>1</v>
      </c>
      <c r="C73" s="61">
        <v>1</v>
      </c>
      <c r="D73" s="61">
        <v>2</v>
      </c>
      <c r="E73" s="61">
        <v>0</v>
      </c>
      <c r="F73" s="61">
        <v>3</v>
      </c>
      <c r="G73" s="102"/>
      <c r="H73" s="62" t="s">
        <v>77</v>
      </c>
      <c r="I73" s="83" t="s">
        <v>260</v>
      </c>
      <c r="J73" s="95"/>
      <c r="K73" s="95">
        <v>4</v>
      </c>
      <c r="L73" s="95"/>
      <c r="M73" s="95">
        <v>3</v>
      </c>
      <c r="N73" s="95">
        <v>4</v>
      </c>
      <c r="O73" s="95">
        <v>2</v>
      </c>
      <c r="P73" s="95">
        <v>2</v>
      </c>
      <c r="Q73" s="95"/>
      <c r="R73" s="95"/>
      <c r="S73" s="95">
        <f t="shared" si="24"/>
        <v>15</v>
      </c>
      <c r="T73" s="61">
        <v>2022</v>
      </c>
    </row>
    <row r="74" spans="1:26" ht="28.5" x14ac:dyDescent="0.2">
      <c r="A74" s="84" t="s">
        <v>328</v>
      </c>
      <c r="B74" s="84">
        <v>1</v>
      </c>
      <c r="C74" s="84">
        <v>2</v>
      </c>
      <c r="D74" s="84">
        <v>0</v>
      </c>
      <c r="E74" s="84">
        <v>0</v>
      </c>
      <c r="F74" s="84">
        <v>0</v>
      </c>
      <c r="G74" s="84"/>
      <c r="H74" s="85" t="s">
        <v>49</v>
      </c>
      <c r="I74" s="86" t="s">
        <v>259</v>
      </c>
      <c r="J74" s="96">
        <f t="shared" ref="J74:S74" si="25">SUM(J75:J77)</f>
        <v>116853.79999999999</v>
      </c>
      <c r="K74" s="96">
        <f t="shared" si="25"/>
        <v>94848</v>
      </c>
      <c r="L74" s="96">
        <f t="shared" si="25"/>
        <v>164069.79999999999</v>
      </c>
      <c r="M74" s="96">
        <f t="shared" si="25"/>
        <v>908772.70000000007</v>
      </c>
      <c r="N74" s="96">
        <f t="shared" si="25"/>
        <v>1105386.8</v>
      </c>
      <c r="O74" s="96">
        <f t="shared" si="25"/>
        <v>1417722.5</v>
      </c>
      <c r="P74" s="96">
        <f t="shared" si="25"/>
        <v>3030033.6</v>
      </c>
      <c r="Q74" s="96">
        <f t="shared" si="25"/>
        <v>868924.1</v>
      </c>
      <c r="R74" s="96">
        <f t="shared" si="25"/>
        <v>1000796.8</v>
      </c>
      <c r="S74" s="96">
        <f t="shared" si="25"/>
        <v>8707408.0999999996</v>
      </c>
      <c r="T74" s="88">
        <v>2024</v>
      </c>
      <c r="U74" s="107"/>
      <c r="Y74" s="90"/>
    </row>
    <row r="75" spans="1:26" ht="15" x14ac:dyDescent="0.2">
      <c r="A75" s="61" t="s">
        <v>328</v>
      </c>
      <c r="B75" s="61">
        <v>1</v>
      </c>
      <c r="C75" s="61">
        <v>2</v>
      </c>
      <c r="D75" s="61">
        <v>0</v>
      </c>
      <c r="E75" s="61">
        <v>0</v>
      </c>
      <c r="F75" s="61">
        <v>0</v>
      </c>
      <c r="G75" s="61">
        <v>1</v>
      </c>
      <c r="H75" s="62" t="s">
        <v>218</v>
      </c>
      <c r="I75" s="63" t="s">
        <v>259</v>
      </c>
      <c r="J75" s="71">
        <f t="shared" ref="J75:S75" si="26">J183+J79</f>
        <v>0</v>
      </c>
      <c r="K75" s="71">
        <f t="shared" si="26"/>
        <v>0</v>
      </c>
      <c r="L75" s="71">
        <f t="shared" si="26"/>
        <v>82505.2</v>
      </c>
      <c r="M75" s="71">
        <f t="shared" si="26"/>
        <v>263345.59999999998</v>
      </c>
      <c r="N75" s="71">
        <f t="shared" si="26"/>
        <v>556030.5</v>
      </c>
      <c r="O75" s="71">
        <f t="shared" si="26"/>
        <v>999810</v>
      </c>
      <c r="P75" s="71">
        <f t="shared" si="26"/>
        <v>1196497.3999999999</v>
      </c>
      <c r="Q75" s="71">
        <f t="shared" si="26"/>
        <v>756868.2</v>
      </c>
      <c r="R75" s="71">
        <f t="shared" si="26"/>
        <v>427726.8</v>
      </c>
      <c r="S75" s="71">
        <f t="shared" si="26"/>
        <v>4282783.7</v>
      </c>
      <c r="T75" s="67">
        <v>2024</v>
      </c>
    </row>
    <row r="76" spans="1:26" ht="15" x14ac:dyDescent="0.2">
      <c r="A76" s="61" t="s">
        <v>328</v>
      </c>
      <c r="B76" s="61">
        <v>1</v>
      </c>
      <c r="C76" s="61">
        <v>2</v>
      </c>
      <c r="D76" s="61">
        <v>0</v>
      </c>
      <c r="E76" s="61">
        <v>0</v>
      </c>
      <c r="F76" s="61">
        <v>0</v>
      </c>
      <c r="G76" s="61">
        <v>2</v>
      </c>
      <c r="H76" s="62" t="s">
        <v>228</v>
      </c>
      <c r="I76" s="63" t="s">
        <v>259</v>
      </c>
      <c r="J76" s="71">
        <f t="shared" ref="J76:S76" si="27">J184+J80</f>
        <v>16942.7</v>
      </c>
      <c r="K76" s="71">
        <f t="shared" si="27"/>
        <v>0</v>
      </c>
      <c r="L76" s="71">
        <f t="shared" si="27"/>
        <v>9204.6</v>
      </c>
      <c r="M76" s="71">
        <f t="shared" si="27"/>
        <v>439170.2</v>
      </c>
      <c r="N76" s="71">
        <f t="shared" si="27"/>
        <v>233635.80000000002</v>
      </c>
      <c r="O76" s="71">
        <f t="shared" si="27"/>
        <v>102405.9</v>
      </c>
      <c r="P76" s="71">
        <f t="shared" si="27"/>
        <v>1466474.3</v>
      </c>
      <c r="Q76" s="71">
        <f t="shared" si="27"/>
        <v>84096.5</v>
      </c>
      <c r="R76" s="71">
        <f t="shared" si="27"/>
        <v>47525.2</v>
      </c>
      <c r="S76" s="71">
        <f t="shared" si="27"/>
        <v>2399455.2000000002</v>
      </c>
      <c r="T76" s="67">
        <v>2024</v>
      </c>
    </row>
    <row r="77" spans="1:26" ht="15" x14ac:dyDescent="0.2">
      <c r="A77" s="61" t="s">
        <v>328</v>
      </c>
      <c r="B77" s="61">
        <v>1</v>
      </c>
      <c r="C77" s="61">
        <v>2</v>
      </c>
      <c r="D77" s="61">
        <v>0</v>
      </c>
      <c r="E77" s="61">
        <v>0</v>
      </c>
      <c r="F77" s="61">
        <v>0</v>
      </c>
      <c r="G77" s="61">
        <v>3</v>
      </c>
      <c r="H77" s="62" t="s">
        <v>229</v>
      </c>
      <c r="I77" s="63" t="s">
        <v>259</v>
      </c>
      <c r="J77" s="71">
        <f t="shared" ref="J77:S77" si="28">J81+J185</f>
        <v>99911.099999999991</v>
      </c>
      <c r="K77" s="71">
        <f t="shared" si="28"/>
        <v>94848</v>
      </c>
      <c r="L77" s="71">
        <f t="shared" si="28"/>
        <v>72360</v>
      </c>
      <c r="M77" s="71">
        <f t="shared" si="28"/>
        <v>206256.90000000002</v>
      </c>
      <c r="N77" s="71">
        <f t="shared" si="28"/>
        <v>315720.5</v>
      </c>
      <c r="O77" s="71">
        <f t="shared" si="28"/>
        <v>315506.59999999998</v>
      </c>
      <c r="P77" s="71">
        <f t="shared" si="28"/>
        <v>367061.89999999997</v>
      </c>
      <c r="Q77" s="71">
        <f t="shared" si="28"/>
        <v>27959.4</v>
      </c>
      <c r="R77" s="71">
        <f t="shared" si="28"/>
        <v>525544.80000000005</v>
      </c>
      <c r="S77" s="71">
        <f t="shared" si="28"/>
        <v>2025169.2</v>
      </c>
      <c r="T77" s="67">
        <v>2024</v>
      </c>
    </row>
    <row r="78" spans="1:26" ht="15" x14ac:dyDescent="0.2">
      <c r="A78" s="61" t="s">
        <v>328</v>
      </c>
      <c r="B78" s="61">
        <v>1</v>
      </c>
      <c r="C78" s="61">
        <v>2</v>
      </c>
      <c r="D78" s="61">
        <v>1</v>
      </c>
      <c r="E78" s="61">
        <v>0</v>
      </c>
      <c r="F78" s="61">
        <v>0</v>
      </c>
      <c r="G78" s="61"/>
      <c r="H78" s="62" t="s">
        <v>216</v>
      </c>
      <c r="I78" s="63" t="s">
        <v>259</v>
      </c>
      <c r="J78" s="66">
        <f>SUM(J79:J81)</f>
        <v>88852.099999999991</v>
      </c>
      <c r="K78" s="66">
        <f t="shared" ref="K78:S78" si="29">SUM(K79:K81)</f>
        <v>76678.5</v>
      </c>
      <c r="L78" s="66">
        <f t="shared" si="29"/>
        <v>26228.799999999999</v>
      </c>
      <c r="M78" s="66">
        <f t="shared" si="29"/>
        <v>552588.30000000005</v>
      </c>
      <c r="N78" s="66">
        <f t="shared" si="29"/>
        <v>1016052.3</v>
      </c>
      <c r="O78" s="66">
        <f t="shared" si="29"/>
        <v>1068206.6000000001</v>
      </c>
      <c r="P78" s="66">
        <f t="shared" si="29"/>
        <v>2981056.8</v>
      </c>
      <c r="Q78" s="66">
        <f t="shared" si="29"/>
        <v>9472</v>
      </c>
      <c r="R78" s="66">
        <f t="shared" si="29"/>
        <v>361609.8</v>
      </c>
      <c r="S78" s="66">
        <f t="shared" si="29"/>
        <v>6180745.2000000002</v>
      </c>
      <c r="T78" s="67">
        <v>2024</v>
      </c>
      <c r="U78" s="89"/>
      <c r="V78" s="90"/>
      <c r="Z78" s="90"/>
    </row>
    <row r="79" spans="1:26" ht="15" x14ac:dyDescent="0.2">
      <c r="A79" s="61" t="s">
        <v>328</v>
      </c>
      <c r="B79" s="61">
        <v>1</v>
      </c>
      <c r="C79" s="61">
        <v>2</v>
      </c>
      <c r="D79" s="61">
        <v>1</v>
      </c>
      <c r="E79" s="61">
        <v>0</v>
      </c>
      <c r="F79" s="61">
        <v>0</v>
      </c>
      <c r="G79" s="61">
        <v>1</v>
      </c>
      <c r="H79" s="62" t="s">
        <v>218</v>
      </c>
      <c r="I79" s="63" t="s">
        <v>259</v>
      </c>
      <c r="J79" s="66">
        <f t="shared" ref="J79:O79" si="30">J85+J114+J156</f>
        <v>0</v>
      </c>
      <c r="K79" s="66">
        <f t="shared" si="30"/>
        <v>0</v>
      </c>
      <c r="L79" s="66">
        <f t="shared" si="30"/>
        <v>0</v>
      </c>
      <c r="M79" s="66">
        <f t="shared" si="30"/>
        <v>263345.59999999998</v>
      </c>
      <c r="N79" s="66">
        <f t="shared" si="30"/>
        <v>491190.9</v>
      </c>
      <c r="O79" s="66">
        <f t="shared" si="30"/>
        <v>700000</v>
      </c>
      <c r="P79" s="66">
        <f>P85+P114+P156</f>
        <v>1196497.3999999999</v>
      </c>
      <c r="Q79" s="66">
        <f>Q85+Q114+Q156</f>
        <v>0</v>
      </c>
      <c r="R79" s="66">
        <f>R85+R114+R156</f>
        <v>0</v>
      </c>
      <c r="S79" s="66">
        <f>SUM(J79:R79)</f>
        <v>2651033.9</v>
      </c>
      <c r="T79" s="67">
        <v>2020</v>
      </c>
      <c r="U79" s="89"/>
      <c r="V79" s="90"/>
      <c r="Z79" s="90"/>
    </row>
    <row r="80" spans="1:26" ht="15" x14ac:dyDescent="0.2">
      <c r="A80" s="61" t="s">
        <v>328</v>
      </c>
      <c r="B80" s="61">
        <v>1</v>
      </c>
      <c r="C80" s="61">
        <v>2</v>
      </c>
      <c r="D80" s="61">
        <v>1</v>
      </c>
      <c r="E80" s="61">
        <v>0</v>
      </c>
      <c r="F80" s="61">
        <v>0</v>
      </c>
      <c r="G80" s="61">
        <v>2</v>
      </c>
      <c r="H80" s="62" t="s">
        <v>228</v>
      </c>
      <c r="I80" s="63" t="s">
        <v>259</v>
      </c>
      <c r="J80" s="66">
        <f>J86+J115+J133+J166</f>
        <v>5000</v>
      </c>
      <c r="K80" s="66">
        <f t="shared" ref="K80:R80" si="31">K86+K115+K133</f>
        <v>0</v>
      </c>
      <c r="L80" s="66">
        <f t="shared" si="31"/>
        <v>0</v>
      </c>
      <c r="M80" s="66">
        <f t="shared" si="31"/>
        <v>130647.7</v>
      </c>
      <c r="N80" s="66">
        <f>N86+N115+N133+N166</f>
        <v>224253.6</v>
      </c>
      <c r="O80" s="66">
        <f t="shared" si="31"/>
        <v>60000</v>
      </c>
      <c r="P80" s="66">
        <f t="shared" si="31"/>
        <v>1426497.5</v>
      </c>
      <c r="Q80" s="66">
        <f t="shared" si="31"/>
        <v>0</v>
      </c>
      <c r="R80" s="66">
        <f t="shared" si="31"/>
        <v>0</v>
      </c>
      <c r="S80" s="66">
        <f>SUM(J80:R80)</f>
        <v>1846398.8</v>
      </c>
      <c r="T80" s="67">
        <v>2024</v>
      </c>
    </row>
    <row r="81" spans="1:23" ht="15" x14ac:dyDescent="0.2">
      <c r="A81" s="61" t="s">
        <v>328</v>
      </c>
      <c r="B81" s="61">
        <v>1</v>
      </c>
      <c r="C81" s="61">
        <v>2</v>
      </c>
      <c r="D81" s="61">
        <v>1</v>
      </c>
      <c r="E81" s="61">
        <v>0</v>
      </c>
      <c r="F81" s="61">
        <v>0</v>
      </c>
      <c r="G81" s="61">
        <v>3</v>
      </c>
      <c r="H81" s="62" t="s">
        <v>229</v>
      </c>
      <c r="I81" s="63" t="s">
        <v>259</v>
      </c>
      <c r="J81" s="66">
        <f t="shared" ref="J81:R81" si="32">J87+J91+J97+J101+J107+J111+J116+J123+J127+J130+J134+J138+J140+J142+J144+J146+J150+J152+J161+J171+J174+J157+J167+J177+J179</f>
        <v>83852.099999999991</v>
      </c>
      <c r="K81" s="66">
        <f t="shared" si="32"/>
        <v>76678.5</v>
      </c>
      <c r="L81" s="66">
        <f t="shared" si="32"/>
        <v>26228.799999999999</v>
      </c>
      <c r="M81" s="66">
        <f t="shared" si="32"/>
        <v>158595.00000000003</v>
      </c>
      <c r="N81" s="66">
        <f t="shared" si="32"/>
        <v>300607.8</v>
      </c>
      <c r="O81" s="66">
        <f t="shared" si="32"/>
        <v>308206.59999999998</v>
      </c>
      <c r="P81" s="66">
        <f t="shared" si="32"/>
        <v>358061.89999999997</v>
      </c>
      <c r="Q81" s="66">
        <f t="shared" si="32"/>
        <v>9472</v>
      </c>
      <c r="R81" s="66">
        <f t="shared" si="32"/>
        <v>361609.8</v>
      </c>
      <c r="S81" s="66">
        <f>SUM(J81:R81)</f>
        <v>1683312.5</v>
      </c>
      <c r="T81" s="67">
        <v>2024</v>
      </c>
    </row>
    <row r="82" spans="1:23" ht="15" x14ac:dyDescent="0.2">
      <c r="A82" s="61" t="s">
        <v>328</v>
      </c>
      <c r="B82" s="61">
        <v>1</v>
      </c>
      <c r="C82" s="61">
        <v>2</v>
      </c>
      <c r="D82" s="61">
        <v>1</v>
      </c>
      <c r="E82" s="61">
        <v>0</v>
      </c>
      <c r="F82" s="61">
        <v>0</v>
      </c>
      <c r="G82" s="61"/>
      <c r="H82" s="62" t="s">
        <v>305</v>
      </c>
      <c r="I82" s="63" t="s">
        <v>402</v>
      </c>
      <c r="J82" s="91">
        <v>0.87083126832259528</v>
      </c>
      <c r="K82" s="91">
        <v>1.1487307653525369</v>
      </c>
      <c r="L82" s="91">
        <v>1.9657097774670267</v>
      </c>
      <c r="M82" s="91">
        <v>1.9657097774670267</v>
      </c>
      <c r="N82" s="91">
        <v>2.0477066903940617</v>
      </c>
      <c r="O82" s="91">
        <v>2.0607508479478058</v>
      </c>
      <c r="P82" s="91">
        <v>2.0743579032281301</v>
      </c>
      <c r="Q82" s="91">
        <v>2.0743579032281301</v>
      </c>
      <c r="R82" s="91">
        <v>2.0743579032281301</v>
      </c>
      <c r="S82" s="91">
        <f>R82</f>
        <v>2.0743579032281301</v>
      </c>
      <c r="T82" s="67">
        <v>2024</v>
      </c>
    </row>
    <row r="83" spans="1:23" ht="30" x14ac:dyDescent="0.2">
      <c r="A83" s="61" t="s">
        <v>328</v>
      </c>
      <c r="B83" s="61">
        <v>1</v>
      </c>
      <c r="C83" s="61">
        <v>2</v>
      </c>
      <c r="D83" s="61">
        <v>1</v>
      </c>
      <c r="E83" s="61">
        <v>0</v>
      </c>
      <c r="F83" s="61">
        <v>0</v>
      </c>
      <c r="G83" s="61"/>
      <c r="H83" s="62" t="s">
        <v>36</v>
      </c>
      <c r="I83" s="63" t="s">
        <v>357</v>
      </c>
      <c r="J83" s="108">
        <v>0.547893153692113</v>
      </c>
      <c r="K83" s="108">
        <v>0.55027105380019947</v>
      </c>
      <c r="L83" s="108">
        <v>0.55686934955466749</v>
      </c>
      <c r="M83" s="108">
        <v>0.561814510385508</v>
      </c>
      <c r="N83" s="108">
        <v>0.58232578404511137</v>
      </c>
      <c r="O83" s="108">
        <v>0.57310911695950528</v>
      </c>
      <c r="P83" s="108">
        <v>0.57729851108932628</v>
      </c>
      <c r="Q83" s="108">
        <v>0.57972835968462233</v>
      </c>
      <c r="R83" s="108">
        <v>0.57972835968462233</v>
      </c>
      <c r="S83" s="108">
        <f>R83</f>
        <v>0.57972835968462233</v>
      </c>
      <c r="T83" s="67">
        <v>2024</v>
      </c>
    </row>
    <row r="84" spans="1:23" ht="30" x14ac:dyDescent="0.2">
      <c r="A84" s="61" t="s">
        <v>328</v>
      </c>
      <c r="B84" s="61">
        <v>1</v>
      </c>
      <c r="C84" s="61">
        <v>2</v>
      </c>
      <c r="D84" s="61">
        <v>1</v>
      </c>
      <c r="E84" s="61">
        <v>0</v>
      </c>
      <c r="F84" s="61">
        <v>1</v>
      </c>
      <c r="G84" s="61"/>
      <c r="H84" s="62" t="s">
        <v>113</v>
      </c>
      <c r="I84" s="63" t="s">
        <v>259</v>
      </c>
      <c r="J84" s="66">
        <f>J85+J86+J87</f>
        <v>299.20000000000027</v>
      </c>
      <c r="K84" s="66">
        <f t="shared" ref="K84:R84" si="33">K85+K86+K87</f>
        <v>1749.4</v>
      </c>
      <c r="L84" s="66">
        <f t="shared" si="33"/>
        <v>3282</v>
      </c>
      <c r="M84" s="66">
        <f t="shared" si="33"/>
        <v>181606.19999999998</v>
      </c>
      <c r="N84" s="66">
        <f t="shared" si="33"/>
        <v>242203.5</v>
      </c>
      <c r="O84" s="66">
        <f t="shared" si="33"/>
        <v>0</v>
      </c>
      <c r="P84" s="66">
        <f t="shared" si="33"/>
        <v>0</v>
      </c>
      <c r="Q84" s="66">
        <f t="shared" si="33"/>
        <v>0</v>
      </c>
      <c r="R84" s="66">
        <f t="shared" si="33"/>
        <v>0</v>
      </c>
      <c r="S84" s="66">
        <f>SUM(J84:R84)</f>
        <v>429140.3</v>
      </c>
      <c r="T84" s="67">
        <v>2020</v>
      </c>
      <c r="V84" s="90"/>
      <c r="W84" s="90"/>
    </row>
    <row r="85" spans="1:23" ht="15" x14ac:dyDescent="0.2">
      <c r="A85" s="61" t="s">
        <v>328</v>
      </c>
      <c r="B85" s="61">
        <v>1</v>
      </c>
      <c r="C85" s="61">
        <v>2</v>
      </c>
      <c r="D85" s="61">
        <v>1</v>
      </c>
      <c r="E85" s="61">
        <v>0</v>
      </c>
      <c r="F85" s="61">
        <v>1</v>
      </c>
      <c r="G85" s="61">
        <v>1</v>
      </c>
      <c r="H85" s="62" t="s">
        <v>218</v>
      </c>
      <c r="I85" s="63" t="s">
        <v>259</v>
      </c>
      <c r="J85" s="71"/>
      <c r="K85" s="71"/>
      <c r="L85" s="71"/>
      <c r="M85" s="71">
        <v>63345.599999999999</v>
      </c>
      <c r="N85" s="71">
        <v>91190.9</v>
      </c>
      <c r="O85" s="71"/>
      <c r="P85" s="71"/>
      <c r="Q85" s="71"/>
      <c r="R85" s="71"/>
      <c r="S85" s="66">
        <f>SUM(J85:R85)</f>
        <v>154536.5</v>
      </c>
      <c r="T85" s="67">
        <v>2020</v>
      </c>
      <c r="V85" s="90"/>
      <c r="W85" s="90"/>
    </row>
    <row r="86" spans="1:23" ht="15" x14ac:dyDescent="0.2">
      <c r="A86" s="61" t="s">
        <v>328</v>
      </c>
      <c r="B86" s="61">
        <v>1</v>
      </c>
      <c r="C86" s="61">
        <v>2</v>
      </c>
      <c r="D86" s="61">
        <v>1</v>
      </c>
      <c r="E86" s="61">
        <v>0</v>
      </c>
      <c r="F86" s="61">
        <v>1</v>
      </c>
      <c r="G86" s="61">
        <v>2</v>
      </c>
      <c r="H86" s="62" t="s">
        <v>228</v>
      </c>
      <c r="I86" s="63" t="s">
        <v>259</v>
      </c>
      <c r="J86" s="71"/>
      <c r="K86" s="71"/>
      <c r="L86" s="71"/>
      <c r="M86" s="71">
        <v>110647.7</v>
      </c>
      <c r="N86" s="71">
        <v>144253.6</v>
      </c>
      <c r="O86" s="71"/>
      <c r="P86" s="71"/>
      <c r="Q86" s="71"/>
      <c r="R86" s="71"/>
      <c r="S86" s="66">
        <f>SUM(J86:R86)</f>
        <v>254901.3</v>
      </c>
      <c r="T86" s="67">
        <v>2020</v>
      </c>
      <c r="V86" s="90"/>
      <c r="W86" s="90"/>
    </row>
    <row r="87" spans="1:23" ht="15" x14ac:dyDescent="0.2">
      <c r="A87" s="61" t="s">
        <v>328</v>
      </c>
      <c r="B87" s="61">
        <v>1</v>
      </c>
      <c r="C87" s="61">
        <v>2</v>
      </c>
      <c r="D87" s="61">
        <v>1</v>
      </c>
      <c r="E87" s="61">
        <v>0</v>
      </c>
      <c r="F87" s="61">
        <v>1</v>
      </c>
      <c r="G87" s="61">
        <v>3</v>
      </c>
      <c r="H87" s="62" t="s">
        <v>229</v>
      </c>
      <c r="I87" s="63" t="s">
        <v>259</v>
      </c>
      <c r="J87" s="66">
        <f>1650+99.7+99.7+99.7+0.9-1650-0.9+0.1</f>
        <v>299.20000000000027</v>
      </c>
      <c r="K87" s="71">
        <f>30368.5-28718.5+99.4</f>
        <v>1749.4</v>
      </c>
      <c r="L87" s="71">
        <v>3282</v>
      </c>
      <c r="M87" s="71">
        <v>7612.9</v>
      </c>
      <c r="N87" s="71">
        <f>6761-2</f>
        <v>6759</v>
      </c>
      <c r="O87" s="71"/>
      <c r="P87" s="71"/>
      <c r="Q87" s="71"/>
      <c r="R87" s="71"/>
      <c r="S87" s="66">
        <f>SUM(J87:R87)</f>
        <v>19702.5</v>
      </c>
      <c r="T87" s="67">
        <v>2020</v>
      </c>
      <c r="V87" s="90"/>
      <c r="W87" s="90"/>
    </row>
    <row r="88" spans="1:23" ht="15" x14ac:dyDescent="0.2">
      <c r="A88" s="61" t="s">
        <v>328</v>
      </c>
      <c r="B88" s="61">
        <v>1</v>
      </c>
      <c r="C88" s="61">
        <v>2</v>
      </c>
      <c r="D88" s="61">
        <v>1</v>
      </c>
      <c r="E88" s="61">
        <v>0</v>
      </c>
      <c r="F88" s="61">
        <v>1</v>
      </c>
      <c r="G88" s="61"/>
      <c r="H88" s="62" t="s">
        <v>176</v>
      </c>
      <c r="I88" s="63" t="s">
        <v>387</v>
      </c>
      <c r="J88" s="66">
        <f>150+150+150</f>
        <v>450</v>
      </c>
      <c r="K88" s="71">
        <v>125</v>
      </c>
      <c r="L88" s="71">
        <v>675</v>
      </c>
      <c r="M88" s="71"/>
      <c r="N88" s="71"/>
      <c r="O88" s="71"/>
      <c r="P88" s="71"/>
      <c r="Q88" s="71"/>
      <c r="R88" s="71"/>
      <c r="S88" s="65">
        <f t="shared" ref="S88:S96" si="34">SUM(J88:O88)</f>
        <v>1250</v>
      </c>
      <c r="T88" s="67">
        <v>2018</v>
      </c>
      <c r="V88" s="90"/>
      <c r="W88" s="90"/>
    </row>
    <row r="89" spans="1:23" ht="15" x14ac:dyDescent="0.2">
      <c r="A89" s="61" t="s">
        <v>328</v>
      </c>
      <c r="B89" s="61">
        <v>1</v>
      </c>
      <c r="C89" s="61">
        <v>2</v>
      </c>
      <c r="D89" s="61">
        <v>1</v>
      </c>
      <c r="E89" s="61">
        <v>0</v>
      </c>
      <c r="F89" s="61">
        <v>1</v>
      </c>
      <c r="G89" s="61"/>
      <c r="H89" s="62" t="s">
        <v>381</v>
      </c>
      <c r="I89" s="63" t="s">
        <v>260</v>
      </c>
      <c r="J89" s="95"/>
      <c r="K89" s="53">
        <v>1</v>
      </c>
      <c r="L89" s="53">
        <v>1</v>
      </c>
      <c r="M89" s="53"/>
      <c r="N89" s="53"/>
      <c r="O89" s="53"/>
      <c r="P89" s="53"/>
      <c r="Q89" s="53"/>
      <c r="R89" s="53"/>
      <c r="S89" s="95">
        <f t="shared" si="34"/>
        <v>2</v>
      </c>
      <c r="T89" s="67">
        <v>2018</v>
      </c>
      <c r="V89" s="90"/>
      <c r="W89" s="90"/>
    </row>
    <row r="90" spans="1:23" ht="45" x14ac:dyDescent="0.2">
      <c r="A90" s="61" t="s">
        <v>328</v>
      </c>
      <c r="B90" s="61">
        <v>1</v>
      </c>
      <c r="C90" s="61">
        <v>2</v>
      </c>
      <c r="D90" s="61">
        <v>1</v>
      </c>
      <c r="E90" s="61">
        <v>0</v>
      </c>
      <c r="F90" s="61">
        <v>1</v>
      </c>
      <c r="G90" s="61"/>
      <c r="H90" s="62" t="s">
        <v>114</v>
      </c>
      <c r="I90" s="63" t="s">
        <v>384</v>
      </c>
      <c r="J90" s="109"/>
      <c r="K90" s="65"/>
      <c r="L90" s="71"/>
      <c r="M90" s="71">
        <v>4.5659999999999998</v>
      </c>
      <c r="N90" s="110">
        <v>7.2450000000000001</v>
      </c>
      <c r="O90" s="71"/>
      <c r="P90" s="71"/>
      <c r="Q90" s="71"/>
      <c r="R90" s="71"/>
      <c r="S90" s="66">
        <f t="shared" si="34"/>
        <v>11.811</v>
      </c>
      <c r="T90" s="67">
        <v>2020</v>
      </c>
      <c r="V90" s="90"/>
      <c r="W90" s="90"/>
    </row>
    <row r="91" spans="1:23" ht="30" x14ac:dyDescent="0.2">
      <c r="A91" s="61" t="s">
        <v>328</v>
      </c>
      <c r="B91" s="61">
        <v>1</v>
      </c>
      <c r="C91" s="61">
        <v>2</v>
      </c>
      <c r="D91" s="61">
        <v>1</v>
      </c>
      <c r="E91" s="61">
        <v>0</v>
      </c>
      <c r="F91" s="61">
        <v>2</v>
      </c>
      <c r="G91" s="61">
        <v>3</v>
      </c>
      <c r="H91" s="62" t="s">
        <v>115</v>
      </c>
      <c r="I91" s="63" t="s">
        <v>259</v>
      </c>
      <c r="J91" s="66">
        <f>100+200</f>
        <v>300</v>
      </c>
      <c r="K91" s="71">
        <f>60237-22437-1000-1236.9</f>
        <v>35563.1</v>
      </c>
      <c r="L91" s="71">
        <v>17022.599999999999</v>
      </c>
      <c r="M91" s="71">
        <v>10112.799999999999</v>
      </c>
      <c r="N91" s="71">
        <v>50271.1</v>
      </c>
      <c r="O91" s="71"/>
      <c r="P91" s="71"/>
      <c r="Q91" s="71"/>
      <c r="R91" s="71"/>
      <c r="S91" s="66">
        <f t="shared" si="34"/>
        <v>113269.6</v>
      </c>
      <c r="T91" s="67">
        <v>2020</v>
      </c>
      <c r="V91" s="90"/>
      <c r="W91" s="90"/>
    </row>
    <row r="92" spans="1:23" ht="15" x14ac:dyDescent="0.2">
      <c r="A92" s="61" t="s">
        <v>328</v>
      </c>
      <c r="B92" s="61">
        <v>1</v>
      </c>
      <c r="C92" s="61">
        <v>2</v>
      </c>
      <c r="D92" s="61">
        <v>1</v>
      </c>
      <c r="E92" s="61">
        <v>0</v>
      </c>
      <c r="F92" s="61">
        <v>2</v>
      </c>
      <c r="G92" s="61"/>
      <c r="H92" s="62" t="s">
        <v>398</v>
      </c>
      <c r="I92" s="63" t="s">
        <v>260</v>
      </c>
      <c r="J92" s="95">
        <v>1</v>
      </c>
      <c r="K92" s="111"/>
      <c r="L92" s="111"/>
      <c r="M92" s="53"/>
      <c r="N92" s="53"/>
      <c r="O92" s="53"/>
      <c r="P92" s="53"/>
      <c r="Q92" s="53"/>
      <c r="R92" s="53"/>
      <c r="S92" s="95">
        <f t="shared" si="34"/>
        <v>1</v>
      </c>
      <c r="T92" s="67">
        <v>2016</v>
      </c>
      <c r="V92" s="90"/>
      <c r="W92" s="90"/>
    </row>
    <row r="93" spans="1:23" ht="30" x14ac:dyDescent="0.2">
      <c r="A93" s="61" t="s">
        <v>328</v>
      </c>
      <c r="B93" s="61">
        <v>1</v>
      </c>
      <c r="C93" s="61">
        <v>2</v>
      </c>
      <c r="D93" s="61">
        <v>1</v>
      </c>
      <c r="E93" s="61">
        <v>0</v>
      </c>
      <c r="F93" s="61">
        <v>2</v>
      </c>
      <c r="G93" s="61"/>
      <c r="H93" s="62" t="s">
        <v>416</v>
      </c>
      <c r="I93" s="63" t="s">
        <v>83</v>
      </c>
      <c r="J93" s="112"/>
      <c r="K93" s="91">
        <v>318.94</v>
      </c>
      <c r="L93" s="93"/>
      <c r="M93" s="113"/>
      <c r="N93" s="71"/>
      <c r="O93" s="71"/>
      <c r="P93" s="71"/>
      <c r="Q93" s="71"/>
      <c r="R93" s="71"/>
      <c r="S93" s="65">
        <f t="shared" si="34"/>
        <v>318.94</v>
      </c>
      <c r="T93" s="67">
        <v>2017</v>
      </c>
      <c r="V93" s="90"/>
      <c r="W93" s="90"/>
    </row>
    <row r="94" spans="1:23" ht="30" x14ac:dyDescent="0.2">
      <c r="A94" s="61" t="s">
        <v>328</v>
      </c>
      <c r="B94" s="61">
        <v>1</v>
      </c>
      <c r="C94" s="61">
        <v>2</v>
      </c>
      <c r="D94" s="61">
        <v>1</v>
      </c>
      <c r="E94" s="61">
        <v>0</v>
      </c>
      <c r="F94" s="61">
        <v>2</v>
      </c>
      <c r="G94" s="61"/>
      <c r="H94" s="62" t="s">
        <v>219</v>
      </c>
      <c r="I94" s="63" t="s">
        <v>220</v>
      </c>
      <c r="J94" s="114"/>
      <c r="K94" s="115"/>
      <c r="L94" s="93">
        <v>3.48</v>
      </c>
      <c r="M94" s="116"/>
      <c r="N94" s="71"/>
      <c r="O94" s="117"/>
      <c r="P94" s="117"/>
      <c r="Q94" s="117"/>
      <c r="R94" s="117"/>
      <c r="S94" s="65">
        <f t="shared" si="34"/>
        <v>3.48</v>
      </c>
      <c r="T94" s="67">
        <v>2018</v>
      </c>
      <c r="V94" s="90"/>
      <c r="W94" s="90"/>
    </row>
    <row r="95" spans="1:23" ht="15" x14ac:dyDescent="0.2">
      <c r="A95" s="61" t="s">
        <v>328</v>
      </c>
      <c r="B95" s="61">
        <v>1</v>
      </c>
      <c r="C95" s="61">
        <v>2</v>
      </c>
      <c r="D95" s="61">
        <v>1</v>
      </c>
      <c r="E95" s="61">
        <v>0</v>
      </c>
      <c r="F95" s="61">
        <v>2</v>
      </c>
      <c r="G95" s="61"/>
      <c r="H95" s="62" t="s">
        <v>427</v>
      </c>
      <c r="I95" s="63" t="s">
        <v>83</v>
      </c>
      <c r="J95" s="114"/>
      <c r="K95" s="115"/>
      <c r="L95" s="93"/>
      <c r="M95" s="116">
        <v>354</v>
      </c>
      <c r="N95" s="117"/>
      <c r="O95" s="117"/>
      <c r="P95" s="117"/>
      <c r="Q95" s="117"/>
      <c r="R95" s="117"/>
      <c r="S95" s="65">
        <f t="shared" si="34"/>
        <v>354</v>
      </c>
      <c r="T95" s="67">
        <v>2019</v>
      </c>
      <c r="V95" s="90"/>
      <c r="W95" s="90"/>
    </row>
    <row r="96" spans="1:23" ht="30" x14ac:dyDescent="0.2">
      <c r="A96" s="61" t="s">
        <v>328</v>
      </c>
      <c r="B96" s="61">
        <v>1</v>
      </c>
      <c r="C96" s="61">
        <v>2</v>
      </c>
      <c r="D96" s="61">
        <v>1</v>
      </c>
      <c r="E96" s="61">
        <v>0</v>
      </c>
      <c r="F96" s="61">
        <v>2</v>
      </c>
      <c r="G96" s="61"/>
      <c r="H96" s="62" t="s">
        <v>426</v>
      </c>
      <c r="I96" s="63" t="s">
        <v>83</v>
      </c>
      <c r="J96" s="114"/>
      <c r="K96" s="115"/>
      <c r="L96" s="61"/>
      <c r="M96" s="118"/>
      <c r="N96" s="118">
        <v>472.86</v>
      </c>
      <c r="O96" s="117"/>
      <c r="P96" s="117"/>
      <c r="Q96" s="117"/>
      <c r="R96" s="117"/>
      <c r="S96" s="65">
        <f t="shared" si="34"/>
        <v>472.86</v>
      </c>
      <c r="T96" s="67">
        <v>2020</v>
      </c>
      <c r="V96" s="90"/>
      <c r="W96" s="90"/>
    </row>
    <row r="97" spans="1:23" ht="30" x14ac:dyDescent="0.2">
      <c r="A97" s="61" t="s">
        <v>328</v>
      </c>
      <c r="B97" s="61">
        <v>1</v>
      </c>
      <c r="C97" s="61">
        <v>2</v>
      </c>
      <c r="D97" s="61">
        <v>1</v>
      </c>
      <c r="E97" s="61">
        <v>0</v>
      </c>
      <c r="F97" s="61">
        <v>3</v>
      </c>
      <c r="G97" s="61">
        <v>3</v>
      </c>
      <c r="H97" s="62" t="s">
        <v>417</v>
      </c>
      <c r="I97" s="63" t="s">
        <v>259</v>
      </c>
      <c r="J97" s="119">
        <f>1268.2+57055.3+5.4-434.4+0.1</f>
        <v>57894.6</v>
      </c>
      <c r="K97" s="117">
        <v>0</v>
      </c>
      <c r="L97" s="118">
        <v>0</v>
      </c>
      <c r="M97" s="117">
        <v>0</v>
      </c>
      <c r="N97" s="71">
        <v>0</v>
      </c>
      <c r="O97" s="71">
        <v>3000</v>
      </c>
      <c r="P97" s="71">
        <v>0</v>
      </c>
      <c r="Q97" s="71">
        <v>0</v>
      </c>
      <c r="R97" s="71">
        <v>95609.8</v>
      </c>
      <c r="S97" s="66">
        <f>SUM(J97:R97)</f>
        <v>156504.4</v>
      </c>
      <c r="T97" s="67">
        <v>2024</v>
      </c>
      <c r="V97" s="90"/>
      <c r="W97" s="90"/>
    </row>
    <row r="98" spans="1:23" ht="30" x14ac:dyDescent="0.2">
      <c r="A98" s="61" t="s">
        <v>328</v>
      </c>
      <c r="B98" s="61">
        <v>1</v>
      </c>
      <c r="C98" s="61">
        <v>2</v>
      </c>
      <c r="D98" s="61">
        <v>1</v>
      </c>
      <c r="E98" s="61">
        <v>0</v>
      </c>
      <c r="F98" s="61">
        <v>3</v>
      </c>
      <c r="G98" s="61"/>
      <c r="H98" s="62" t="s">
        <v>418</v>
      </c>
      <c r="I98" s="63" t="s">
        <v>92</v>
      </c>
      <c r="J98" s="109">
        <v>651.37</v>
      </c>
      <c r="K98" s="71"/>
      <c r="L98" s="93"/>
      <c r="M98" s="93"/>
      <c r="N98" s="93"/>
      <c r="O98" s="71"/>
      <c r="P98" s="71"/>
      <c r="Q98" s="71"/>
      <c r="R98" s="71"/>
      <c r="S98" s="65">
        <f>SUM(J98:O98)</f>
        <v>651.37</v>
      </c>
      <c r="T98" s="67">
        <v>2016</v>
      </c>
      <c r="V98" s="90"/>
      <c r="W98" s="90"/>
    </row>
    <row r="99" spans="1:23" ht="30" x14ac:dyDescent="0.2">
      <c r="A99" s="61" t="s">
        <v>328</v>
      </c>
      <c r="B99" s="61">
        <v>1</v>
      </c>
      <c r="C99" s="61">
        <v>2</v>
      </c>
      <c r="D99" s="61">
        <v>1</v>
      </c>
      <c r="E99" s="61">
        <v>0</v>
      </c>
      <c r="F99" s="61">
        <v>3</v>
      </c>
      <c r="G99" s="61"/>
      <c r="H99" s="62" t="s">
        <v>419</v>
      </c>
      <c r="I99" s="63" t="s">
        <v>92</v>
      </c>
      <c r="J99" s="109"/>
      <c r="K99" s="71"/>
      <c r="L99" s="93"/>
      <c r="M99" s="93"/>
      <c r="N99" s="93"/>
      <c r="O99" s="93"/>
      <c r="P99" s="93"/>
      <c r="Q99" s="93"/>
      <c r="R99" s="93">
        <v>651.37</v>
      </c>
      <c r="S99" s="65">
        <f>SUM(J99:O99)</f>
        <v>0</v>
      </c>
      <c r="T99" s="67">
        <v>2024</v>
      </c>
      <c r="V99" s="90"/>
      <c r="W99" s="90"/>
    </row>
    <row r="100" spans="1:23" ht="15" x14ac:dyDescent="0.2">
      <c r="A100" s="61" t="s">
        <v>328</v>
      </c>
      <c r="B100" s="61">
        <v>1</v>
      </c>
      <c r="C100" s="61">
        <v>2</v>
      </c>
      <c r="D100" s="61">
        <v>1</v>
      </c>
      <c r="E100" s="61">
        <v>0</v>
      </c>
      <c r="F100" s="61">
        <v>3</v>
      </c>
      <c r="G100" s="61"/>
      <c r="H100" s="62" t="s">
        <v>398</v>
      </c>
      <c r="I100" s="63" t="s">
        <v>260</v>
      </c>
      <c r="J100" s="109"/>
      <c r="K100" s="71"/>
      <c r="L100" s="93"/>
      <c r="M100" s="93"/>
      <c r="N100" s="93"/>
      <c r="O100" s="53">
        <v>1</v>
      </c>
      <c r="P100" s="93"/>
      <c r="Q100" s="93"/>
      <c r="R100" s="93"/>
      <c r="S100" s="65">
        <f>SUM(J100:R100)</f>
        <v>1</v>
      </c>
      <c r="T100" s="67">
        <v>2021</v>
      </c>
      <c r="V100" s="90"/>
      <c r="W100" s="90"/>
    </row>
    <row r="101" spans="1:23" ht="45" x14ac:dyDescent="0.2">
      <c r="A101" s="61" t="s">
        <v>328</v>
      </c>
      <c r="B101" s="61">
        <v>1</v>
      </c>
      <c r="C101" s="61">
        <v>2</v>
      </c>
      <c r="D101" s="61">
        <v>1</v>
      </c>
      <c r="E101" s="61">
        <v>0</v>
      </c>
      <c r="F101" s="61">
        <v>4</v>
      </c>
      <c r="G101" s="61">
        <v>3</v>
      </c>
      <c r="H101" s="62" t="s">
        <v>116</v>
      </c>
      <c r="I101" s="63" t="s">
        <v>259</v>
      </c>
      <c r="J101" s="66">
        <v>0</v>
      </c>
      <c r="K101" s="71">
        <f>0+1000</f>
        <v>1000</v>
      </c>
      <c r="L101" s="71">
        <v>1000</v>
      </c>
      <c r="M101" s="71">
        <v>65605.5</v>
      </c>
      <c r="N101" s="71">
        <v>93853</v>
      </c>
      <c r="O101" s="71">
        <v>116454.6</v>
      </c>
      <c r="P101" s="71"/>
      <c r="Q101" s="71"/>
      <c r="R101" s="71"/>
      <c r="S101" s="66">
        <f>SUM(J101:R101)</f>
        <v>277913.09999999998</v>
      </c>
      <c r="T101" s="67">
        <v>2021</v>
      </c>
      <c r="V101" s="90"/>
      <c r="W101" s="90"/>
    </row>
    <row r="102" spans="1:23" ht="30" x14ac:dyDescent="0.2">
      <c r="A102" s="61" t="s">
        <v>328</v>
      </c>
      <c r="B102" s="61">
        <v>1</v>
      </c>
      <c r="C102" s="61">
        <v>2</v>
      </c>
      <c r="D102" s="61">
        <v>1</v>
      </c>
      <c r="E102" s="61">
        <v>0</v>
      </c>
      <c r="F102" s="61">
        <v>4</v>
      </c>
      <c r="G102" s="61"/>
      <c r="H102" s="62" t="s">
        <v>14</v>
      </c>
      <c r="I102" s="63" t="s">
        <v>316</v>
      </c>
      <c r="J102" s="120"/>
      <c r="K102" s="93"/>
      <c r="L102" s="71"/>
      <c r="M102" s="71">
        <v>17.3</v>
      </c>
      <c r="N102" s="71"/>
      <c r="O102" s="71"/>
      <c r="P102" s="71"/>
      <c r="Q102" s="71"/>
      <c r="R102" s="71"/>
      <c r="S102" s="66">
        <f>SUM(J102:R102)</f>
        <v>17.3</v>
      </c>
      <c r="T102" s="67">
        <v>2019</v>
      </c>
      <c r="V102" s="90"/>
      <c r="W102" s="90"/>
    </row>
    <row r="103" spans="1:23" ht="15" x14ac:dyDescent="0.2">
      <c r="A103" s="61" t="s">
        <v>328</v>
      </c>
      <c r="B103" s="61">
        <v>1</v>
      </c>
      <c r="C103" s="61">
        <v>2</v>
      </c>
      <c r="D103" s="61">
        <v>1</v>
      </c>
      <c r="E103" s="61">
        <v>0</v>
      </c>
      <c r="F103" s="61">
        <v>4</v>
      </c>
      <c r="G103" s="61"/>
      <c r="H103" s="62" t="s">
        <v>290</v>
      </c>
      <c r="I103" s="63" t="s">
        <v>383</v>
      </c>
      <c r="J103" s="120"/>
      <c r="K103" s="93"/>
      <c r="L103" s="71"/>
      <c r="M103" s="71"/>
      <c r="N103" s="71"/>
      <c r="O103" s="53">
        <v>1228</v>
      </c>
      <c r="P103" s="71"/>
      <c r="Q103" s="71"/>
      <c r="R103" s="71"/>
      <c r="S103" s="66">
        <f>SUM(J103:R103)</f>
        <v>1228</v>
      </c>
      <c r="T103" s="67">
        <v>2021</v>
      </c>
      <c r="V103" s="90"/>
      <c r="W103" s="90"/>
    </row>
    <row r="104" spans="1:23" ht="30" x14ac:dyDescent="0.2">
      <c r="A104" s="61" t="s">
        <v>328</v>
      </c>
      <c r="B104" s="61">
        <v>1</v>
      </c>
      <c r="C104" s="61">
        <v>2</v>
      </c>
      <c r="D104" s="61">
        <v>1</v>
      </c>
      <c r="E104" s="61">
        <v>0</v>
      </c>
      <c r="F104" s="61">
        <v>4</v>
      </c>
      <c r="G104" s="61"/>
      <c r="H104" s="62" t="s">
        <v>70</v>
      </c>
      <c r="I104" s="63" t="s">
        <v>260</v>
      </c>
      <c r="J104" s="121"/>
      <c r="K104" s="53">
        <v>1</v>
      </c>
      <c r="L104" s="53">
        <v>1</v>
      </c>
      <c r="M104" s="53"/>
      <c r="N104" s="53"/>
      <c r="O104" s="53"/>
      <c r="P104" s="53"/>
      <c r="Q104" s="53"/>
      <c r="R104" s="53"/>
      <c r="S104" s="66">
        <v>1</v>
      </c>
      <c r="T104" s="67">
        <v>2018</v>
      </c>
      <c r="V104" s="90"/>
      <c r="W104" s="90"/>
    </row>
    <row r="105" spans="1:23" ht="15" x14ac:dyDescent="0.2">
      <c r="A105" s="61" t="s">
        <v>328</v>
      </c>
      <c r="B105" s="61">
        <v>1</v>
      </c>
      <c r="C105" s="61">
        <v>2</v>
      </c>
      <c r="D105" s="61">
        <v>1</v>
      </c>
      <c r="E105" s="61">
        <v>0</v>
      </c>
      <c r="F105" s="61">
        <v>4</v>
      </c>
      <c r="G105" s="61"/>
      <c r="H105" s="62" t="s">
        <v>15</v>
      </c>
      <c r="I105" s="63" t="s">
        <v>220</v>
      </c>
      <c r="J105" s="121"/>
      <c r="K105" s="53"/>
      <c r="L105" s="53"/>
      <c r="M105" s="53"/>
      <c r="N105" s="71">
        <v>16</v>
      </c>
      <c r="O105" s="53"/>
      <c r="P105" s="53"/>
      <c r="Q105" s="53"/>
      <c r="R105" s="53"/>
      <c r="S105" s="66">
        <f>SUM(J105:R105)</f>
        <v>16</v>
      </c>
      <c r="T105" s="67">
        <v>2020</v>
      </c>
      <c r="V105" s="90"/>
      <c r="W105" s="90"/>
    </row>
    <row r="106" spans="1:23" ht="30" x14ac:dyDescent="0.2">
      <c r="A106" s="61" t="s">
        <v>328</v>
      </c>
      <c r="B106" s="61">
        <v>1</v>
      </c>
      <c r="C106" s="61">
        <v>2</v>
      </c>
      <c r="D106" s="61">
        <v>1</v>
      </c>
      <c r="E106" s="61">
        <v>0</v>
      </c>
      <c r="F106" s="61">
        <v>4</v>
      </c>
      <c r="G106" s="61"/>
      <c r="H106" s="62" t="s">
        <v>428</v>
      </c>
      <c r="I106" s="63" t="s">
        <v>83</v>
      </c>
      <c r="J106" s="121"/>
      <c r="K106" s="53"/>
      <c r="L106" s="53"/>
      <c r="M106" s="53">
        <v>482</v>
      </c>
      <c r="N106" s="71"/>
      <c r="O106" s="53"/>
      <c r="P106" s="53"/>
      <c r="Q106" s="53"/>
      <c r="R106" s="53"/>
      <c r="S106" s="66">
        <f>SUM(J106:R106)</f>
        <v>482</v>
      </c>
      <c r="T106" s="67">
        <v>2019</v>
      </c>
      <c r="V106" s="90"/>
      <c r="W106" s="90"/>
    </row>
    <row r="107" spans="1:23" ht="45" x14ac:dyDescent="0.2">
      <c r="A107" s="61" t="s">
        <v>328</v>
      </c>
      <c r="B107" s="61">
        <v>1</v>
      </c>
      <c r="C107" s="61">
        <v>2</v>
      </c>
      <c r="D107" s="61">
        <v>1</v>
      </c>
      <c r="E107" s="61">
        <v>0</v>
      </c>
      <c r="F107" s="61">
        <v>5</v>
      </c>
      <c r="G107" s="61">
        <v>3</v>
      </c>
      <c r="H107" s="62" t="s">
        <v>117</v>
      </c>
      <c r="I107" s="63" t="s">
        <v>259</v>
      </c>
      <c r="J107" s="66">
        <v>5.2</v>
      </c>
      <c r="K107" s="66">
        <f>100+679.8+5.1</f>
        <v>784.9</v>
      </c>
      <c r="L107" s="71">
        <v>0</v>
      </c>
      <c r="M107" s="71">
        <v>0</v>
      </c>
      <c r="N107" s="71">
        <v>0</v>
      </c>
      <c r="O107" s="71">
        <v>0</v>
      </c>
      <c r="P107" s="71">
        <v>0</v>
      </c>
      <c r="Q107" s="71">
        <v>0</v>
      </c>
      <c r="R107" s="71">
        <v>0</v>
      </c>
      <c r="S107" s="66">
        <f>SUM(J107:O107)</f>
        <v>790.1</v>
      </c>
      <c r="T107" s="67">
        <v>2017</v>
      </c>
      <c r="V107" s="90"/>
      <c r="W107" s="90"/>
    </row>
    <row r="108" spans="1:23" ht="30" x14ac:dyDescent="0.2">
      <c r="A108" s="61" t="s">
        <v>328</v>
      </c>
      <c r="B108" s="61">
        <v>1</v>
      </c>
      <c r="C108" s="61">
        <v>2</v>
      </c>
      <c r="D108" s="61">
        <v>1</v>
      </c>
      <c r="E108" s="61">
        <v>0</v>
      </c>
      <c r="F108" s="61">
        <v>5</v>
      </c>
      <c r="G108" s="61"/>
      <c r="H108" s="62" t="s">
        <v>291</v>
      </c>
      <c r="I108" s="63" t="s">
        <v>260</v>
      </c>
      <c r="J108" s="53">
        <v>1</v>
      </c>
      <c r="K108" s="53"/>
      <c r="L108" s="53"/>
      <c r="M108" s="53"/>
      <c r="N108" s="53"/>
      <c r="O108" s="53"/>
      <c r="P108" s="53"/>
      <c r="Q108" s="53"/>
      <c r="R108" s="53"/>
      <c r="S108" s="53">
        <f>SUM(J108:O108)</f>
        <v>1</v>
      </c>
      <c r="T108" s="67">
        <v>2016</v>
      </c>
      <c r="V108" s="90"/>
      <c r="W108" s="90"/>
    </row>
    <row r="109" spans="1:23" ht="15" x14ac:dyDescent="0.2">
      <c r="A109" s="61" t="s">
        <v>328</v>
      </c>
      <c r="B109" s="61">
        <v>1</v>
      </c>
      <c r="C109" s="61">
        <v>2</v>
      </c>
      <c r="D109" s="61">
        <v>1</v>
      </c>
      <c r="E109" s="61">
        <v>0</v>
      </c>
      <c r="F109" s="61">
        <v>5</v>
      </c>
      <c r="G109" s="61"/>
      <c r="H109" s="62" t="s">
        <v>290</v>
      </c>
      <c r="I109" s="63" t="s">
        <v>383</v>
      </c>
      <c r="J109" s="93"/>
      <c r="K109" s="93">
        <v>318.62</v>
      </c>
      <c r="L109" s="104"/>
      <c r="M109" s="104"/>
      <c r="N109" s="71"/>
      <c r="O109" s="71"/>
      <c r="P109" s="71"/>
      <c r="Q109" s="71"/>
      <c r="R109" s="71"/>
      <c r="S109" s="93">
        <f>SUM(J109:O109)</f>
        <v>318.62</v>
      </c>
      <c r="T109" s="67">
        <v>2017</v>
      </c>
      <c r="V109" s="90"/>
      <c r="W109" s="90"/>
    </row>
    <row r="110" spans="1:23" ht="30" x14ac:dyDescent="0.2">
      <c r="A110" s="61" t="s">
        <v>328</v>
      </c>
      <c r="B110" s="61">
        <v>1</v>
      </c>
      <c r="C110" s="61">
        <v>2</v>
      </c>
      <c r="D110" s="61">
        <v>1</v>
      </c>
      <c r="E110" s="61">
        <v>0</v>
      </c>
      <c r="F110" s="61">
        <v>5</v>
      </c>
      <c r="G110" s="61"/>
      <c r="H110" s="62" t="s">
        <v>382</v>
      </c>
      <c r="I110" s="63" t="s">
        <v>260</v>
      </c>
      <c r="J110" s="53"/>
      <c r="K110" s="53">
        <v>1</v>
      </c>
      <c r="L110" s="111"/>
      <c r="M110" s="111"/>
      <c r="N110" s="53"/>
      <c r="O110" s="53"/>
      <c r="P110" s="53"/>
      <c r="Q110" s="53"/>
      <c r="R110" s="53"/>
      <c r="S110" s="53">
        <f>SUM(J110:O110)</f>
        <v>1</v>
      </c>
      <c r="T110" s="67">
        <v>2017</v>
      </c>
      <c r="V110" s="90"/>
      <c r="W110" s="90"/>
    </row>
    <row r="111" spans="1:23" ht="45" x14ac:dyDescent="0.2">
      <c r="A111" s="61" t="s">
        <v>328</v>
      </c>
      <c r="B111" s="61">
        <v>1</v>
      </c>
      <c r="C111" s="61">
        <v>2</v>
      </c>
      <c r="D111" s="61">
        <v>1</v>
      </c>
      <c r="E111" s="61">
        <v>0</v>
      </c>
      <c r="F111" s="61">
        <v>6</v>
      </c>
      <c r="G111" s="61">
        <v>3</v>
      </c>
      <c r="H111" s="62" t="s">
        <v>90</v>
      </c>
      <c r="I111" s="63" t="s">
        <v>259</v>
      </c>
      <c r="J111" s="120">
        <v>0</v>
      </c>
      <c r="K111" s="71">
        <v>0</v>
      </c>
      <c r="L111" s="71">
        <v>0</v>
      </c>
      <c r="M111" s="71">
        <v>10105.6</v>
      </c>
      <c r="N111" s="71">
        <v>49777.2</v>
      </c>
      <c r="O111" s="71">
        <v>93752</v>
      </c>
      <c r="P111" s="71"/>
      <c r="Q111" s="71"/>
      <c r="R111" s="71">
        <v>125000</v>
      </c>
      <c r="S111" s="66">
        <f t="shared" ref="S111:S122" si="35">SUM(J111:R111)</f>
        <v>278634.8</v>
      </c>
      <c r="T111" s="67">
        <v>2024</v>
      </c>
      <c r="V111" s="90"/>
      <c r="W111" s="90"/>
    </row>
    <row r="112" spans="1:23" ht="15" x14ac:dyDescent="0.2">
      <c r="A112" s="61" t="s">
        <v>328</v>
      </c>
      <c r="B112" s="61">
        <v>1</v>
      </c>
      <c r="C112" s="61">
        <v>2</v>
      </c>
      <c r="D112" s="61">
        <v>1</v>
      </c>
      <c r="E112" s="61">
        <v>0</v>
      </c>
      <c r="F112" s="61">
        <v>6</v>
      </c>
      <c r="G112" s="61"/>
      <c r="H112" s="62" t="s">
        <v>72</v>
      </c>
      <c r="I112" s="63" t="s">
        <v>83</v>
      </c>
      <c r="J112" s="114"/>
      <c r="K112" s="82"/>
      <c r="L112" s="82"/>
      <c r="M112" s="82">
        <v>15.8</v>
      </c>
      <c r="N112" s="71">
        <v>77.2</v>
      </c>
      <c r="O112" s="122">
        <f>184-M112-N112</f>
        <v>90.999999999999986</v>
      </c>
      <c r="P112" s="122"/>
      <c r="Q112" s="122"/>
      <c r="R112" s="122">
        <v>93</v>
      </c>
      <c r="S112" s="66">
        <f t="shared" si="35"/>
        <v>277</v>
      </c>
      <c r="T112" s="67">
        <v>2024</v>
      </c>
      <c r="V112" s="90"/>
      <c r="W112" s="90"/>
    </row>
    <row r="113" spans="1:23" ht="30" x14ac:dyDescent="0.2">
      <c r="A113" s="61" t="s">
        <v>328</v>
      </c>
      <c r="B113" s="61">
        <v>1</v>
      </c>
      <c r="C113" s="61">
        <v>2</v>
      </c>
      <c r="D113" s="61">
        <v>1</v>
      </c>
      <c r="E113" s="61">
        <v>0</v>
      </c>
      <c r="F113" s="61">
        <v>7</v>
      </c>
      <c r="G113" s="61"/>
      <c r="H113" s="62" t="s">
        <v>139</v>
      </c>
      <c r="I113" s="63" t="s">
        <v>259</v>
      </c>
      <c r="J113" s="123">
        <f>SUM(J114:J116)</f>
        <v>0</v>
      </c>
      <c r="K113" s="123">
        <f>SUM(K114:K116)</f>
        <v>0</v>
      </c>
      <c r="L113" s="123">
        <f>SUM(L114:L116)</f>
        <v>100</v>
      </c>
      <c r="M113" s="123">
        <f t="shared" ref="M113:R113" si="36">SUM(M114:M116)</f>
        <v>253565.4</v>
      </c>
      <c r="N113" s="123">
        <f t="shared" si="36"/>
        <v>510200</v>
      </c>
      <c r="O113" s="123">
        <f t="shared" si="36"/>
        <v>810200</v>
      </c>
      <c r="P113" s="123">
        <f t="shared" si="36"/>
        <v>2276697.5</v>
      </c>
      <c r="Q113" s="123">
        <f t="shared" si="36"/>
        <v>0</v>
      </c>
      <c r="R113" s="123">
        <f t="shared" si="36"/>
        <v>0</v>
      </c>
      <c r="S113" s="66">
        <f t="shared" si="35"/>
        <v>3850762.9</v>
      </c>
      <c r="T113" s="67">
        <v>2022</v>
      </c>
      <c r="V113" s="90"/>
      <c r="W113" s="90"/>
    </row>
    <row r="114" spans="1:23" ht="15" x14ac:dyDescent="0.2">
      <c r="A114" s="61" t="s">
        <v>328</v>
      </c>
      <c r="B114" s="61">
        <v>1</v>
      </c>
      <c r="C114" s="61">
        <v>2</v>
      </c>
      <c r="D114" s="61">
        <v>1</v>
      </c>
      <c r="E114" s="61">
        <v>0</v>
      </c>
      <c r="F114" s="61">
        <v>7</v>
      </c>
      <c r="G114" s="61">
        <v>1</v>
      </c>
      <c r="H114" s="62" t="s">
        <v>218</v>
      </c>
      <c r="I114" s="63" t="s">
        <v>259</v>
      </c>
      <c r="J114" s="124"/>
      <c r="K114" s="123"/>
      <c r="L114" s="123"/>
      <c r="M114" s="123">
        <v>200000</v>
      </c>
      <c r="N114" s="124">
        <v>400000</v>
      </c>
      <c r="O114" s="124">
        <v>700000</v>
      </c>
      <c r="P114" s="124">
        <v>800000</v>
      </c>
      <c r="Q114" s="124"/>
      <c r="R114" s="124"/>
      <c r="S114" s="66">
        <f t="shared" si="35"/>
        <v>2100000</v>
      </c>
      <c r="T114" s="67">
        <v>2022</v>
      </c>
      <c r="V114" s="90"/>
      <c r="W114" s="90"/>
    </row>
    <row r="115" spans="1:23" ht="15" x14ac:dyDescent="0.2">
      <c r="A115" s="61" t="s">
        <v>328</v>
      </c>
      <c r="B115" s="61">
        <v>1</v>
      </c>
      <c r="C115" s="61">
        <v>2</v>
      </c>
      <c r="D115" s="61">
        <v>1</v>
      </c>
      <c r="E115" s="61">
        <v>0</v>
      </c>
      <c r="F115" s="61">
        <v>7</v>
      </c>
      <c r="G115" s="61">
        <v>2</v>
      </c>
      <c r="H115" s="62" t="s">
        <v>228</v>
      </c>
      <c r="I115" s="63" t="s">
        <v>259</v>
      </c>
      <c r="J115" s="124"/>
      <c r="K115" s="123"/>
      <c r="L115" s="123"/>
      <c r="M115" s="123">
        <v>20000</v>
      </c>
      <c r="N115" s="124">
        <v>60000</v>
      </c>
      <c r="O115" s="124">
        <v>60000</v>
      </c>
      <c r="P115" s="124">
        <v>1426497.5</v>
      </c>
      <c r="Q115" s="124"/>
      <c r="R115" s="124"/>
      <c r="S115" s="66">
        <f t="shared" si="35"/>
        <v>1566497.5</v>
      </c>
      <c r="T115" s="67">
        <v>2022</v>
      </c>
      <c r="V115" s="90"/>
      <c r="W115" s="90"/>
    </row>
    <row r="116" spans="1:23" ht="15" x14ac:dyDescent="0.2">
      <c r="A116" s="61" t="s">
        <v>328</v>
      </c>
      <c r="B116" s="61">
        <v>1</v>
      </c>
      <c r="C116" s="61">
        <v>2</v>
      </c>
      <c r="D116" s="61">
        <v>1</v>
      </c>
      <c r="E116" s="61">
        <v>0</v>
      </c>
      <c r="F116" s="61">
        <v>7</v>
      </c>
      <c r="G116" s="61">
        <v>3</v>
      </c>
      <c r="H116" s="62" t="s">
        <v>229</v>
      </c>
      <c r="I116" s="63" t="s">
        <v>259</v>
      </c>
      <c r="J116" s="124"/>
      <c r="K116" s="123"/>
      <c r="L116" s="123">
        <v>100</v>
      </c>
      <c r="M116" s="123">
        <f>33300+265.4</f>
        <v>33565.4</v>
      </c>
      <c r="N116" s="124">
        <v>50200</v>
      </c>
      <c r="O116" s="124">
        <v>50200</v>
      </c>
      <c r="P116" s="124">
        <v>50200</v>
      </c>
      <c r="Q116" s="124"/>
      <c r="R116" s="124"/>
      <c r="S116" s="66">
        <f t="shared" si="35"/>
        <v>184265.4</v>
      </c>
      <c r="T116" s="67">
        <v>2022</v>
      </c>
      <c r="V116" s="90"/>
      <c r="W116" s="90"/>
    </row>
    <row r="117" spans="1:23" ht="15" x14ac:dyDescent="0.2">
      <c r="A117" s="61" t="s">
        <v>328</v>
      </c>
      <c r="B117" s="61">
        <v>1</v>
      </c>
      <c r="C117" s="61">
        <v>2</v>
      </c>
      <c r="D117" s="61">
        <v>1</v>
      </c>
      <c r="E117" s="61">
        <v>0</v>
      </c>
      <c r="F117" s="61">
        <v>7</v>
      </c>
      <c r="G117" s="61"/>
      <c r="H117" s="62" t="s">
        <v>375</v>
      </c>
      <c r="I117" s="63" t="s">
        <v>220</v>
      </c>
      <c r="J117" s="61"/>
      <c r="K117" s="61"/>
      <c r="L117" s="66"/>
      <c r="M117" s="66"/>
      <c r="N117" s="66"/>
      <c r="O117" s="66">
        <f>ROUND(O113*(21.7+17.3)/($M$113+$N$113+$O$113),0)</f>
        <v>20</v>
      </c>
      <c r="P117" s="66"/>
      <c r="Q117" s="66"/>
      <c r="R117" s="66"/>
      <c r="S117" s="66">
        <f t="shared" si="35"/>
        <v>20</v>
      </c>
      <c r="T117" s="67">
        <v>2021</v>
      </c>
      <c r="V117" s="90"/>
      <c r="W117" s="90"/>
    </row>
    <row r="118" spans="1:23" ht="30" x14ac:dyDescent="0.2">
      <c r="A118" s="61" t="s">
        <v>328</v>
      </c>
      <c r="B118" s="61">
        <v>1</v>
      </c>
      <c r="C118" s="61">
        <v>2</v>
      </c>
      <c r="D118" s="61">
        <v>1</v>
      </c>
      <c r="E118" s="61">
        <v>0</v>
      </c>
      <c r="F118" s="61">
        <v>7</v>
      </c>
      <c r="G118" s="61"/>
      <c r="H118" s="62" t="s">
        <v>222</v>
      </c>
      <c r="I118" s="63" t="s">
        <v>260</v>
      </c>
      <c r="J118" s="61"/>
      <c r="K118" s="61"/>
      <c r="L118" s="66">
        <v>1</v>
      </c>
      <c r="M118" s="66"/>
      <c r="N118" s="66"/>
      <c r="O118" s="66"/>
      <c r="P118" s="66"/>
      <c r="Q118" s="66"/>
      <c r="R118" s="66"/>
      <c r="S118" s="66">
        <f t="shared" si="35"/>
        <v>1</v>
      </c>
      <c r="T118" s="67">
        <v>2018</v>
      </c>
      <c r="V118" s="90"/>
      <c r="W118" s="90"/>
    </row>
    <row r="119" spans="1:23" ht="15" x14ac:dyDescent="0.2">
      <c r="A119" s="61" t="s">
        <v>328</v>
      </c>
      <c r="B119" s="61">
        <v>1</v>
      </c>
      <c r="C119" s="61">
        <v>2</v>
      </c>
      <c r="D119" s="61">
        <v>1</v>
      </c>
      <c r="E119" s="61">
        <v>0</v>
      </c>
      <c r="F119" s="61">
        <v>7</v>
      </c>
      <c r="G119" s="61"/>
      <c r="H119" s="62" t="s">
        <v>17</v>
      </c>
      <c r="I119" s="63" t="s">
        <v>83</v>
      </c>
      <c r="J119" s="61"/>
      <c r="K119" s="61"/>
      <c r="L119" s="66"/>
      <c r="M119" s="66"/>
      <c r="N119" s="66"/>
      <c r="O119" s="66"/>
      <c r="P119" s="66">
        <v>185.8</v>
      </c>
      <c r="Q119" s="66"/>
      <c r="R119" s="66"/>
      <c r="S119" s="66">
        <f t="shared" si="35"/>
        <v>185.8</v>
      </c>
      <c r="T119" s="67">
        <v>2022</v>
      </c>
      <c r="V119" s="90"/>
      <c r="W119" s="90"/>
    </row>
    <row r="120" spans="1:23" ht="15" x14ac:dyDescent="0.2">
      <c r="A120" s="61" t="s">
        <v>328</v>
      </c>
      <c r="B120" s="61">
        <v>1</v>
      </c>
      <c r="C120" s="61">
        <v>2</v>
      </c>
      <c r="D120" s="61">
        <v>1</v>
      </c>
      <c r="E120" s="61">
        <v>0</v>
      </c>
      <c r="F120" s="61">
        <v>7</v>
      </c>
      <c r="G120" s="61"/>
      <c r="H120" s="62" t="s">
        <v>311</v>
      </c>
      <c r="I120" s="63" t="s">
        <v>384</v>
      </c>
      <c r="J120" s="61"/>
      <c r="K120" s="61"/>
      <c r="L120" s="66"/>
      <c r="M120" s="66"/>
      <c r="N120" s="66"/>
      <c r="O120" s="66"/>
      <c r="P120" s="66"/>
      <c r="Q120" s="66">
        <v>2.9159999999999999</v>
      </c>
      <c r="R120" s="66"/>
      <c r="S120" s="66">
        <f t="shared" si="35"/>
        <v>2.9159999999999999</v>
      </c>
      <c r="T120" s="67">
        <v>2023</v>
      </c>
      <c r="V120" s="90"/>
      <c r="W120" s="90"/>
    </row>
    <row r="121" spans="1:23" ht="30" x14ac:dyDescent="0.2">
      <c r="A121" s="61" t="s">
        <v>328</v>
      </c>
      <c r="B121" s="61">
        <v>1</v>
      </c>
      <c r="C121" s="61">
        <v>2</v>
      </c>
      <c r="D121" s="61">
        <v>1</v>
      </c>
      <c r="E121" s="61">
        <v>0</v>
      </c>
      <c r="F121" s="61">
        <v>7</v>
      </c>
      <c r="G121" s="61"/>
      <c r="H121" s="62" t="s">
        <v>430</v>
      </c>
      <c r="I121" s="63" t="s">
        <v>220</v>
      </c>
      <c r="J121" s="61"/>
      <c r="K121" s="61"/>
      <c r="L121" s="66"/>
      <c r="M121" s="66">
        <f>17.318+2.896+7.244+48.893+27.15</f>
        <v>103.501</v>
      </c>
      <c r="N121" s="66"/>
      <c r="O121" s="66"/>
      <c r="P121" s="66"/>
      <c r="Q121" s="66"/>
      <c r="R121" s="66"/>
      <c r="S121" s="66">
        <f t="shared" si="35"/>
        <v>103.501</v>
      </c>
      <c r="T121" s="67">
        <v>2019</v>
      </c>
      <c r="V121" s="90"/>
      <c r="W121" s="90"/>
    </row>
    <row r="122" spans="1:23" ht="15" x14ac:dyDescent="0.2">
      <c r="A122" s="61" t="s">
        <v>328</v>
      </c>
      <c r="B122" s="61">
        <v>1</v>
      </c>
      <c r="C122" s="61">
        <v>2</v>
      </c>
      <c r="D122" s="61">
        <v>1</v>
      </c>
      <c r="E122" s="61">
        <v>0</v>
      </c>
      <c r="F122" s="61">
        <v>7</v>
      </c>
      <c r="G122" s="61"/>
      <c r="H122" s="62" t="s">
        <v>476</v>
      </c>
      <c r="I122" s="63" t="s">
        <v>385</v>
      </c>
      <c r="J122" s="61"/>
      <c r="K122" s="61"/>
      <c r="L122" s="66"/>
      <c r="M122" s="66"/>
      <c r="N122" s="66">
        <v>6</v>
      </c>
      <c r="O122" s="66"/>
      <c r="P122" s="66"/>
      <c r="Q122" s="66"/>
      <c r="R122" s="66"/>
      <c r="S122" s="66">
        <f t="shared" si="35"/>
        <v>6</v>
      </c>
      <c r="T122" s="67">
        <v>2020</v>
      </c>
      <c r="V122" s="90"/>
      <c r="W122" s="90"/>
    </row>
    <row r="123" spans="1:23" ht="30" x14ac:dyDescent="0.2">
      <c r="A123" s="61" t="s">
        <v>328</v>
      </c>
      <c r="B123" s="61">
        <v>1</v>
      </c>
      <c r="C123" s="61">
        <v>2</v>
      </c>
      <c r="D123" s="61">
        <v>1</v>
      </c>
      <c r="E123" s="61">
        <v>0</v>
      </c>
      <c r="F123" s="61">
        <v>8</v>
      </c>
      <c r="G123" s="61">
        <v>3</v>
      </c>
      <c r="H123" s="62" t="s">
        <v>91</v>
      </c>
      <c r="I123" s="63" t="s">
        <v>259</v>
      </c>
      <c r="J123" s="71">
        <f>271.2+24847.8-8350.7</f>
        <v>16768.3</v>
      </c>
      <c r="K123" s="71">
        <f>8350.7+305.3</f>
        <v>8656</v>
      </c>
      <c r="L123" s="71">
        <v>0</v>
      </c>
      <c r="M123" s="71">
        <v>0</v>
      </c>
      <c r="N123" s="71">
        <v>0</v>
      </c>
      <c r="O123" s="71">
        <v>0</v>
      </c>
      <c r="P123" s="71">
        <v>0</v>
      </c>
      <c r="Q123" s="71">
        <v>0</v>
      </c>
      <c r="R123" s="71">
        <v>0</v>
      </c>
      <c r="S123" s="66">
        <f>SUM(J123:O123)</f>
        <v>25424.3</v>
      </c>
      <c r="T123" s="67">
        <v>2017</v>
      </c>
      <c r="V123" s="90"/>
      <c r="W123" s="90"/>
    </row>
    <row r="124" spans="1:23" ht="15" x14ac:dyDescent="0.2">
      <c r="A124" s="61" t="s">
        <v>328</v>
      </c>
      <c r="B124" s="61">
        <v>1</v>
      </c>
      <c r="C124" s="61">
        <v>2</v>
      </c>
      <c r="D124" s="61">
        <v>1</v>
      </c>
      <c r="E124" s="61">
        <v>0</v>
      </c>
      <c r="F124" s="61">
        <v>8</v>
      </c>
      <c r="G124" s="61"/>
      <c r="H124" s="62" t="s">
        <v>103</v>
      </c>
      <c r="I124" s="94" t="s">
        <v>258</v>
      </c>
      <c r="J124" s="66">
        <v>1520</v>
      </c>
      <c r="K124" s="66"/>
      <c r="L124" s="66"/>
      <c r="M124" s="66"/>
      <c r="N124" s="66"/>
      <c r="O124" s="66"/>
      <c r="P124" s="66"/>
      <c r="Q124" s="66"/>
      <c r="R124" s="66"/>
      <c r="S124" s="66">
        <f>SUM(J124:O124)</f>
        <v>1520</v>
      </c>
      <c r="T124" s="67">
        <v>2016</v>
      </c>
      <c r="V124" s="90"/>
      <c r="W124" s="90"/>
    </row>
    <row r="125" spans="1:23" ht="30" x14ac:dyDescent="0.2">
      <c r="A125" s="61" t="s">
        <v>328</v>
      </c>
      <c r="B125" s="61">
        <v>1</v>
      </c>
      <c r="C125" s="61">
        <v>2</v>
      </c>
      <c r="D125" s="61">
        <v>1</v>
      </c>
      <c r="E125" s="61">
        <v>0</v>
      </c>
      <c r="F125" s="61">
        <v>8</v>
      </c>
      <c r="G125" s="61"/>
      <c r="H125" s="62" t="s">
        <v>95</v>
      </c>
      <c r="I125" s="63" t="s">
        <v>260</v>
      </c>
      <c r="J125" s="53">
        <v>1</v>
      </c>
      <c r="K125" s="95"/>
      <c r="L125" s="95"/>
      <c r="M125" s="95"/>
      <c r="N125" s="95"/>
      <c r="O125" s="95"/>
      <c r="P125" s="95"/>
      <c r="Q125" s="95"/>
      <c r="R125" s="95"/>
      <c r="S125" s="95">
        <f>SUM(J125:O125)</f>
        <v>1</v>
      </c>
      <c r="T125" s="67">
        <v>2016</v>
      </c>
      <c r="V125" s="90"/>
      <c r="W125" s="90"/>
    </row>
    <row r="126" spans="1:23" ht="15" x14ac:dyDescent="0.2">
      <c r="A126" s="61" t="s">
        <v>328</v>
      </c>
      <c r="B126" s="61">
        <v>1</v>
      </c>
      <c r="C126" s="61">
        <v>2</v>
      </c>
      <c r="D126" s="61">
        <v>1</v>
      </c>
      <c r="E126" s="61">
        <v>0</v>
      </c>
      <c r="F126" s="61">
        <v>8</v>
      </c>
      <c r="G126" s="61"/>
      <c r="H126" s="62" t="s">
        <v>336</v>
      </c>
      <c r="I126" s="63" t="s">
        <v>83</v>
      </c>
      <c r="J126" s="71"/>
      <c r="K126" s="66">
        <v>270</v>
      </c>
      <c r="L126" s="66"/>
      <c r="M126" s="66"/>
      <c r="N126" s="66"/>
      <c r="O126" s="66"/>
      <c r="P126" s="66"/>
      <c r="Q126" s="66"/>
      <c r="R126" s="66"/>
      <c r="S126" s="66">
        <f>SUM(J126:O126)</f>
        <v>270</v>
      </c>
      <c r="T126" s="67">
        <v>2017</v>
      </c>
      <c r="V126" s="90"/>
      <c r="W126" s="90"/>
    </row>
    <row r="127" spans="1:23" ht="15" x14ac:dyDescent="0.2">
      <c r="A127" s="61" t="s">
        <v>328</v>
      </c>
      <c r="B127" s="61">
        <v>1</v>
      </c>
      <c r="C127" s="61">
        <v>2</v>
      </c>
      <c r="D127" s="61">
        <v>1</v>
      </c>
      <c r="E127" s="61">
        <v>0</v>
      </c>
      <c r="F127" s="61">
        <v>9</v>
      </c>
      <c r="G127" s="61">
        <v>3</v>
      </c>
      <c r="H127" s="62" t="s">
        <v>69</v>
      </c>
      <c r="I127" s="63" t="s">
        <v>259</v>
      </c>
      <c r="J127" s="71">
        <f>1993.1+7.4+0.1</f>
        <v>2000.6</v>
      </c>
      <c r="K127" s="71">
        <v>0</v>
      </c>
      <c r="L127" s="117">
        <v>369.8</v>
      </c>
      <c r="M127" s="71">
        <v>12111.2</v>
      </c>
      <c r="N127" s="71">
        <v>3382.9</v>
      </c>
      <c r="O127" s="71">
        <v>0</v>
      </c>
      <c r="P127" s="71">
        <v>0</v>
      </c>
      <c r="Q127" s="71">
        <v>0</v>
      </c>
      <c r="R127" s="71">
        <v>0</v>
      </c>
      <c r="S127" s="66">
        <f>SUM(J127:R127)</f>
        <v>17864.5</v>
      </c>
      <c r="T127" s="67">
        <v>2020</v>
      </c>
      <c r="V127" s="90"/>
      <c r="W127" s="90"/>
    </row>
    <row r="128" spans="1:23" ht="15" x14ac:dyDescent="0.2">
      <c r="A128" s="61" t="s">
        <v>328</v>
      </c>
      <c r="B128" s="61">
        <v>1</v>
      </c>
      <c r="C128" s="61">
        <v>2</v>
      </c>
      <c r="D128" s="61">
        <v>1</v>
      </c>
      <c r="E128" s="61">
        <v>0</v>
      </c>
      <c r="F128" s="61">
        <v>9</v>
      </c>
      <c r="G128" s="61"/>
      <c r="H128" s="62" t="s">
        <v>243</v>
      </c>
      <c r="I128" s="63" t="s">
        <v>92</v>
      </c>
      <c r="J128" s="61">
        <v>840</v>
      </c>
      <c r="K128" s="61"/>
      <c r="L128" s="117"/>
      <c r="M128" s="61">
        <f>346+179+2600</f>
        <v>3125</v>
      </c>
      <c r="N128" s="61">
        <f>654</f>
        <v>654</v>
      </c>
      <c r="O128" s="61"/>
      <c r="P128" s="61"/>
      <c r="Q128" s="61"/>
      <c r="R128" s="61"/>
      <c r="S128" s="66">
        <f>SUM(J128:R128)</f>
        <v>4619</v>
      </c>
      <c r="T128" s="67">
        <v>2020</v>
      </c>
      <c r="V128" s="90"/>
      <c r="W128" s="90"/>
    </row>
    <row r="129" spans="1:23" ht="15" x14ac:dyDescent="0.2">
      <c r="A129" s="61" t="s">
        <v>328</v>
      </c>
      <c r="B129" s="61">
        <v>1</v>
      </c>
      <c r="C129" s="61">
        <v>2</v>
      </c>
      <c r="D129" s="61">
        <v>1</v>
      </c>
      <c r="E129" s="61">
        <v>0</v>
      </c>
      <c r="F129" s="61">
        <v>9</v>
      </c>
      <c r="G129" s="61"/>
      <c r="H129" s="62" t="s">
        <v>223</v>
      </c>
      <c r="I129" s="63" t="s">
        <v>260</v>
      </c>
      <c r="J129" s="125"/>
      <c r="K129" s="126"/>
      <c r="L129" s="117">
        <v>2</v>
      </c>
      <c r="M129" s="61">
        <v>1</v>
      </c>
      <c r="N129" s="61">
        <v>2</v>
      </c>
      <c r="O129" s="61"/>
      <c r="P129" s="61"/>
      <c r="Q129" s="61"/>
      <c r="R129" s="61"/>
      <c r="S129" s="66">
        <f>SUM(J129:R129)</f>
        <v>5</v>
      </c>
      <c r="T129" s="67">
        <v>2020</v>
      </c>
      <c r="V129" s="90"/>
      <c r="W129" s="90"/>
    </row>
    <row r="130" spans="1:23" ht="30" x14ac:dyDescent="0.2">
      <c r="A130" s="61" t="s">
        <v>328</v>
      </c>
      <c r="B130" s="61">
        <v>1</v>
      </c>
      <c r="C130" s="61">
        <v>2</v>
      </c>
      <c r="D130" s="61">
        <v>1</v>
      </c>
      <c r="E130" s="61">
        <v>1</v>
      </c>
      <c r="F130" s="61">
        <v>0</v>
      </c>
      <c r="G130" s="61">
        <v>3</v>
      </c>
      <c r="H130" s="62" t="s">
        <v>78</v>
      </c>
      <c r="I130" s="63" t="s">
        <v>259</v>
      </c>
      <c r="J130" s="71">
        <v>550</v>
      </c>
      <c r="K130" s="71">
        <v>2250</v>
      </c>
      <c r="L130" s="71">
        <v>0</v>
      </c>
      <c r="M130" s="71">
        <v>0</v>
      </c>
      <c r="N130" s="71">
        <v>0</v>
      </c>
      <c r="O130" s="71">
        <v>0</v>
      </c>
      <c r="P130" s="71">
        <v>0</v>
      </c>
      <c r="Q130" s="71">
        <v>0</v>
      </c>
      <c r="R130" s="71">
        <v>0</v>
      </c>
      <c r="S130" s="66">
        <f>SUM(J130:O130)</f>
        <v>2800</v>
      </c>
      <c r="T130" s="67">
        <v>2017</v>
      </c>
      <c r="V130" s="90"/>
      <c r="W130" s="90"/>
    </row>
    <row r="131" spans="1:23" ht="15" x14ac:dyDescent="0.2">
      <c r="A131" s="61" t="s">
        <v>328</v>
      </c>
      <c r="B131" s="61">
        <v>1</v>
      </c>
      <c r="C131" s="61">
        <v>2</v>
      </c>
      <c r="D131" s="61">
        <v>1</v>
      </c>
      <c r="E131" s="61">
        <v>1</v>
      </c>
      <c r="F131" s="61">
        <v>0</v>
      </c>
      <c r="G131" s="61"/>
      <c r="H131" s="62" t="s">
        <v>32</v>
      </c>
      <c r="I131" s="63" t="s">
        <v>260</v>
      </c>
      <c r="J131" s="53">
        <v>1</v>
      </c>
      <c r="K131" s="53">
        <v>1</v>
      </c>
      <c r="L131" s="53"/>
      <c r="M131" s="53"/>
      <c r="N131" s="53"/>
      <c r="O131" s="53"/>
      <c r="P131" s="53"/>
      <c r="Q131" s="53"/>
      <c r="R131" s="53"/>
      <c r="S131" s="95">
        <f>SUM(J131:O131)</f>
        <v>2</v>
      </c>
      <c r="T131" s="67">
        <v>2017</v>
      </c>
      <c r="V131" s="90"/>
      <c r="W131" s="90"/>
    </row>
    <row r="132" spans="1:23" ht="45" x14ac:dyDescent="0.2">
      <c r="A132" s="61" t="s">
        <v>328</v>
      </c>
      <c r="B132" s="61">
        <v>1</v>
      </c>
      <c r="C132" s="61">
        <v>2</v>
      </c>
      <c r="D132" s="61">
        <v>1</v>
      </c>
      <c r="E132" s="61">
        <v>1</v>
      </c>
      <c r="F132" s="61">
        <v>1</v>
      </c>
      <c r="G132" s="61"/>
      <c r="H132" s="62" t="s">
        <v>420</v>
      </c>
      <c r="I132" s="63" t="s">
        <v>259</v>
      </c>
      <c r="J132" s="82">
        <f t="shared" ref="J132:S132" si="37">J134+J133</f>
        <v>9620.7000000000007</v>
      </c>
      <c r="K132" s="82">
        <f t="shared" si="37"/>
        <v>19487.100000000002</v>
      </c>
      <c r="L132" s="82">
        <f t="shared" si="37"/>
        <v>0</v>
      </c>
      <c r="M132" s="82">
        <f t="shared" si="37"/>
        <v>0</v>
      </c>
      <c r="N132" s="82">
        <f t="shared" si="37"/>
        <v>0</v>
      </c>
      <c r="O132" s="82">
        <f>O134+O133</f>
        <v>0</v>
      </c>
      <c r="P132" s="82">
        <f t="shared" si="37"/>
        <v>0</v>
      </c>
      <c r="Q132" s="82">
        <f t="shared" si="37"/>
        <v>0</v>
      </c>
      <c r="R132" s="82">
        <f t="shared" si="37"/>
        <v>0</v>
      </c>
      <c r="S132" s="82">
        <f t="shared" si="37"/>
        <v>29107.800000000003</v>
      </c>
      <c r="T132" s="67">
        <v>2017</v>
      </c>
      <c r="V132" s="90"/>
      <c r="W132" s="90"/>
    </row>
    <row r="133" spans="1:23" ht="15" x14ac:dyDescent="0.2">
      <c r="A133" s="61" t="s">
        <v>328</v>
      </c>
      <c r="B133" s="61">
        <v>1</v>
      </c>
      <c r="C133" s="61">
        <v>2</v>
      </c>
      <c r="D133" s="61">
        <v>1</v>
      </c>
      <c r="E133" s="61">
        <v>1</v>
      </c>
      <c r="F133" s="61">
        <v>1</v>
      </c>
      <c r="G133" s="61">
        <v>2</v>
      </c>
      <c r="H133" s="62" t="s">
        <v>228</v>
      </c>
      <c r="I133" s="63" t="s">
        <v>259</v>
      </c>
      <c r="J133" s="82">
        <f>2000+3000</f>
        <v>5000</v>
      </c>
      <c r="K133" s="82"/>
      <c r="L133" s="82"/>
      <c r="M133" s="82"/>
      <c r="N133" s="82"/>
      <c r="O133" s="82"/>
      <c r="P133" s="82"/>
      <c r="Q133" s="82"/>
      <c r="R133" s="82"/>
      <c r="S133" s="66">
        <f t="shared" ref="S133:S139" si="38">SUM(J133:O133)</f>
        <v>5000</v>
      </c>
      <c r="T133" s="67">
        <v>2016</v>
      </c>
      <c r="V133" s="90"/>
      <c r="W133" s="90"/>
    </row>
    <row r="134" spans="1:23" ht="15" x14ac:dyDescent="0.2">
      <c r="A134" s="61" t="s">
        <v>328</v>
      </c>
      <c r="B134" s="61">
        <v>1</v>
      </c>
      <c r="C134" s="61">
        <v>2</v>
      </c>
      <c r="D134" s="61">
        <v>1</v>
      </c>
      <c r="E134" s="61">
        <v>1</v>
      </c>
      <c r="F134" s="61">
        <v>1</v>
      </c>
      <c r="G134" s="61">
        <v>3</v>
      </c>
      <c r="H134" s="62" t="s">
        <v>229</v>
      </c>
      <c r="I134" s="63" t="s">
        <v>259</v>
      </c>
      <c r="J134" s="82">
        <f>373.1+8479.9+118.4-20.9-4296-33.8</f>
        <v>4620.7</v>
      </c>
      <c r="K134" s="82">
        <f>22490.3-3745.1+549+192.9</f>
        <v>19487.100000000002</v>
      </c>
      <c r="L134" s="82"/>
      <c r="M134" s="82"/>
      <c r="N134" s="82"/>
      <c r="O134" s="82"/>
      <c r="P134" s="82"/>
      <c r="Q134" s="82"/>
      <c r="R134" s="82"/>
      <c r="S134" s="66">
        <f t="shared" si="38"/>
        <v>24107.800000000003</v>
      </c>
      <c r="T134" s="67">
        <v>2017</v>
      </c>
      <c r="V134" s="90"/>
      <c r="W134" s="90"/>
    </row>
    <row r="135" spans="1:23" ht="15" x14ac:dyDescent="0.2">
      <c r="A135" s="61" t="s">
        <v>328</v>
      </c>
      <c r="B135" s="61">
        <v>1</v>
      </c>
      <c r="C135" s="61">
        <v>2</v>
      </c>
      <c r="D135" s="61">
        <v>1</v>
      </c>
      <c r="E135" s="61">
        <v>1</v>
      </c>
      <c r="F135" s="61">
        <v>1</v>
      </c>
      <c r="G135" s="61"/>
      <c r="H135" s="62" t="s">
        <v>32</v>
      </c>
      <c r="I135" s="63" t="s">
        <v>260</v>
      </c>
      <c r="J135" s="127">
        <v>1</v>
      </c>
      <c r="K135" s="127"/>
      <c r="L135" s="127"/>
      <c r="M135" s="127"/>
      <c r="N135" s="127"/>
      <c r="O135" s="127"/>
      <c r="P135" s="127"/>
      <c r="Q135" s="127"/>
      <c r="R135" s="127"/>
      <c r="S135" s="95">
        <f t="shared" si="38"/>
        <v>1</v>
      </c>
      <c r="T135" s="67">
        <v>2016</v>
      </c>
      <c r="V135" s="90"/>
      <c r="W135" s="90"/>
    </row>
    <row r="136" spans="1:23" ht="15" x14ac:dyDescent="0.2">
      <c r="A136" s="61" t="s">
        <v>328</v>
      </c>
      <c r="B136" s="61">
        <v>1</v>
      </c>
      <c r="C136" s="61">
        <v>2</v>
      </c>
      <c r="D136" s="61">
        <v>1</v>
      </c>
      <c r="E136" s="61">
        <v>1</v>
      </c>
      <c r="F136" s="61">
        <v>1</v>
      </c>
      <c r="G136" s="61"/>
      <c r="H136" s="62" t="s">
        <v>33</v>
      </c>
      <c r="I136" s="63" t="s">
        <v>92</v>
      </c>
      <c r="J136" s="70">
        <v>426.8</v>
      </c>
      <c r="K136" s="70"/>
      <c r="L136" s="66"/>
      <c r="M136" s="70"/>
      <c r="N136" s="70"/>
      <c r="O136" s="70"/>
      <c r="P136" s="70"/>
      <c r="Q136" s="70"/>
      <c r="R136" s="70"/>
      <c r="S136" s="66">
        <f t="shared" si="38"/>
        <v>426.8</v>
      </c>
      <c r="T136" s="67">
        <v>2016</v>
      </c>
      <c r="V136" s="90"/>
      <c r="W136" s="90"/>
    </row>
    <row r="137" spans="1:23" ht="30" x14ac:dyDescent="0.2">
      <c r="A137" s="61" t="s">
        <v>328</v>
      </c>
      <c r="B137" s="61">
        <v>1</v>
      </c>
      <c r="C137" s="61">
        <v>2</v>
      </c>
      <c r="D137" s="61">
        <v>1</v>
      </c>
      <c r="E137" s="61">
        <v>1</v>
      </c>
      <c r="F137" s="61">
        <v>1</v>
      </c>
      <c r="G137" s="61"/>
      <c r="H137" s="62" t="s">
        <v>271</v>
      </c>
      <c r="I137" s="94" t="s">
        <v>258</v>
      </c>
      <c r="J137" s="70"/>
      <c r="K137" s="70">
        <v>5739.81</v>
      </c>
      <c r="L137" s="66"/>
      <c r="M137" s="70"/>
      <c r="N137" s="70"/>
      <c r="O137" s="70"/>
      <c r="P137" s="70"/>
      <c r="Q137" s="70"/>
      <c r="R137" s="70"/>
      <c r="S137" s="66">
        <f t="shared" si="38"/>
        <v>5739.81</v>
      </c>
      <c r="T137" s="67">
        <v>2017</v>
      </c>
      <c r="V137" s="90"/>
      <c r="W137" s="90"/>
    </row>
    <row r="138" spans="1:23" ht="30" x14ac:dyDescent="0.2">
      <c r="A138" s="61" t="s">
        <v>328</v>
      </c>
      <c r="B138" s="61">
        <v>1</v>
      </c>
      <c r="C138" s="61">
        <v>2</v>
      </c>
      <c r="D138" s="61">
        <v>1</v>
      </c>
      <c r="E138" s="61">
        <v>1</v>
      </c>
      <c r="F138" s="61">
        <v>2</v>
      </c>
      <c r="G138" s="61">
        <v>3</v>
      </c>
      <c r="H138" s="62" t="s">
        <v>374</v>
      </c>
      <c r="I138" s="63" t="s">
        <v>259</v>
      </c>
      <c r="J138" s="82">
        <f>100-54.9</f>
        <v>45.1</v>
      </c>
      <c r="K138" s="82">
        <v>0</v>
      </c>
      <c r="L138" s="82">
        <v>0</v>
      </c>
      <c r="M138" s="82">
        <v>0</v>
      </c>
      <c r="N138" s="82">
        <v>0</v>
      </c>
      <c r="O138" s="82">
        <v>0</v>
      </c>
      <c r="P138" s="82">
        <v>0</v>
      </c>
      <c r="Q138" s="82">
        <v>0</v>
      </c>
      <c r="R138" s="82">
        <v>0</v>
      </c>
      <c r="S138" s="66">
        <f>SUM(J138:R138)</f>
        <v>45.1</v>
      </c>
      <c r="T138" s="67">
        <v>2016</v>
      </c>
      <c r="V138" s="90"/>
      <c r="W138" s="90"/>
    </row>
    <row r="139" spans="1:23" ht="15" x14ac:dyDescent="0.2">
      <c r="A139" s="61" t="s">
        <v>328</v>
      </c>
      <c r="B139" s="61">
        <v>1</v>
      </c>
      <c r="C139" s="61">
        <v>2</v>
      </c>
      <c r="D139" s="61">
        <v>1</v>
      </c>
      <c r="E139" s="61">
        <v>1</v>
      </c>
      <c r="F139" s="61">
        <v>2</v>
      </c>
      <c r="G139" s="61"/>
      <c r="H139" s="62" t="s">
        <v>68</v>
      </c>
      <c r="I139" s="94" t="s">
        <v>260</v>
      </c>
      <c r="J139" s="95">
        <v>1</v>
      </c>
      <c r="K139" s="95"/>
      <c r="L139" s="95"/>
      <c r="M139" s="95"/>
      <c r="N139" s="95"/>
      <c r="O139" s="95"/>
      <c r="P139" s="95"/>
      <c r="Q139" s="95"/>
      <c r="R139" s="95"/>
      <c r="S139" s="95">
        <f t="shared" si="38"/>
        <v>1</v>
      </c>
      <c r="T139" s="67">
        <v>2016</v>
      </c>
      <c r="V139" s="90"/>
      <c r="W139" s="90"/>
    </row>
    <row r="140" spans="1:23" ht="30" x14ac:dyDescent="0.2">
      <c r="A140" s="61" t="s">
        <v>328</v>
      </c>
      <c r="B140" s="61">
        <v>1</v>
      </c>
      <c r="C140" s="61">
        <v>2</v>
      </c>
      <c r="D140" s="61">
        <v>1</v>
      </c>
      <c r="E140" s="61">
        <v>1</v>
      </c>
      <c r="F140" s="61">
        <v>3</v>
      </c>
      <c r="G140" s="61">
        <v>3</v>
      </c>
      <c r="H140" s="62" t="s">
        <v>373</v>
      </c>
      <c r="I140" s="63" t="s">
        <v>259</v>
      </c>
      <c r="J140" s="82">
        <v>0</v>
      </c>
      <c r="K140" s="82">
        <v>0</v>
      </c>
      <c r="L140" s="82">
        <v>0</v>
      </c>
      <c r="M140" s="82">
        <v>0</v>
      </c>
      <c r="N140" s="82">
        <v>0</v>
      </c>
      <c r="O140" s="82">
        <v>0</v>
      </c>
      <c r="P140" s="82">
        <v>0</v>
      </c>
      <c r="Q140" s="82">
        <v>0</v>
      </c>
      <c r="R140" s="82">
        <v>81000</v>
      </c>
      <c r="S140" s="66">
        <f>SUM(J140:R140)</f>
        <v>81000</v>
      </c>
      <c r="T140" s="67">
        <v>2024</v>
      </c>
      <c r="V140" s="90"/>
      <c r="W140" s="90"/>
    </row>
    <row r="141" spans="1:23" ht="30" x14ac:dyDescent="0.2">
      <c r="A141" s="61" t="s">
        <v>328</v>
      </c>
      <c r="B141" s="61">
        <v>1</v>
      </c>
      <c r="C141" s="61">
        <v>2</v>
      </c>
      <c r="D141" s="61">
        <v>1</v>
      </c>
      <c r="E141" s="61">
        <v>1</v>
      </c>
      <c r="F141" s="61">
        <v>3</v>
      </c>
      <c r="G141" s="61"/>
      <c r="H141" s="62" t="s">
        <v>289</v>
      </c>
      <c r="I141" s="94" t="s">
        <v>384</v>
      </c>
      <c r="J141" s="70"/>
      <c r="K141" s="70"/>
      <c r="L141" s="66"/>
      <c r="M141" s="70"/>
      <c r="N141" s="70"/>
      <c r="O141" s="66"/>
      <c r="P141" s="70"/>
      <c r="Q141" s="70"/>
      <c r="R141" s="70">
        <v>1.4</v>
      </c>
      <c r="S141" s="66">
        <f>SUM(J141:R141)</f>
        <v>1.4</v>
      </c>
      <c r="T141" s="67">
        <v>2024</v>
      </c>
      <c r="V141" s="90"/>
      <c r="W141" s="90"/>
    </row>
    <row r="142" spans="1:23" ht="45" x14ac:dyDescent="0.2">
      <c r="A142" s="61" t="s">
        <v>328</v>
      </c>
      <c r="B142" s="61">
        <v>1</v>
      </c>
      <c r="C142" s="61">
        <v>2</v>
      </c>
      <c r="D142" s="61">
        <v>1</v>
      </c>
      <c r="E142" s="61">
        <v>1</v>
      </c>
      <c r="F142" s="61">
        <v>4</v>
      </c>
      <c r="G142" s="61">
        <v>3</v>
      </c>
      <c r="H142" s="62" t="s">
        <v>421</v>
      </c>
      <c r="I142" s="63" t="s">
        <v>259</v>
      </c>
      <c r="J142" s="71">
        <f>1247</f>
        <v>1247</v>
      </c>
      <c r="K142" s="71">
        <f>2000-2000</f>
        <v>0</v>
      </c>
      <c r="L142" s="71">
        <f>2000-2000</f>
        <v>0</v>
      </c>
      <c r="M142" s="82">
        <v>0</v>
      </c>
      <c r="N142" s="82">
        <v>0</v>
      </c>
      <c r="O142" s="82">
        <v>0</v>
      </c>
      <c r="P142" s="82">
        <v>0</v>
      </c>
      <c r="Q142" s="82">
        <v>0</v>
      </c>
      <c r="R142" s="82">
        <v>0</v>
      </c>
      <c r="S142" s="66">
        <f>SUM(J142:O142)</f>
        <v>1247</v>
      </c>
      <c r="T142" s="67">
        <v>2016</v>
      </c>
      <c r="V142" s="90"/>
      <c r="W142" s="90"/>
    </row>
    <row r="143" spans="1:23" ht="15" x14ac:dyDescent="0.2">
      <c r="A143" s="61" t="s">
        <v>328</v>
      </c>
      <c r="B143" s="61">
        <v>1</v>
      </c>
      <c r="C143" s="61">
        <v>2</v>
      </c>
      <c r="D143" s="61">
        <v>1</v>
      </c>
      <c r="E143" s="61">
        <v>1</v>
      </c>
      <c r="F143" s="61">
        <v>4</v>
      </c>
      <c r="G143" s="61"/>
      <c r="H143" s="62" t="s">
        <v>32</v>
      </c>
      <c r="I143" s="63" t="s">
        <v>260</v>
      </c>
      <c r="J143" s="53">
        <v>1</v>
      </c>
      <c r="K143" s="53"/>
      <c r="L143" s="53"/>
      <c r="M143" s="53"/>
      <c r="N143" s="53"/>
      <c r="O143" s="53"/>
      <c r="P143" s="53"/>
      <c r="Q143" s="53"/>
      <c r="R143" s="53"/>
      <c r="S143" s="95">
        <f>SUM(J143:O143)</f>
        <v>1</v>
      </c>
      <c r="T143" s="67">
        <v>2016</v>
      </c>
      <c r="V143" s="90"/>
      <c r="W143" s="90"/>
    </row>
    <row r="144" spans="1:23" ht="15" x14ac:dyDescent="0.2">
      <c r="A144" s="61" t="s">
        <v>328</v>
      </c>
      <c r="B144" s="61">
        <v>1</v>
      </c>
      <c r="C144" s="61">
        <v>2</v>
      </c>
      <c r="D144" s="61">
        <v>1</v>
      </c>
      <c r="E144" s="61">
        <v>1</v>
      </c>
      <c r="F144" s="61">
        <v>5</v>
      </c>
      <c r="G144" s="61">
        <v>3</v>
      </c>
      <c r="H144" s="62" t="s">
        <v>245</v>
      </c>
      <c r="I144" s="63" t="s">
        <v>259</v>
      </c>
      <c r="J144" s="71">
        <v>0</v>
      </c>
      <c r="K144" s="71">
        <f>10000-10000</f>
        <v>0</v>
      </c>
      <c r="L144" s="71">
        <v>0</v>
      </c>
      <c r="M144" s="71">
        <f>4000-4000</f>
        <v>0</v>
      </c>
      <c r="N144" s="71">
        <v>0</v>
      </c>
      <c r="O144" s="71">
        <v>0</v>
      </c>
      <c r="P144" s="71">
        <f>4000-4000</f>
        <v>0</v>
      </c>
      <c r="Q144" s="71">
        <v>0</v>
      </c>
      <c r="R144" s="71">
        <f>14000</f>
        <v>14000</v>
      </c>
      <c r="S144" s="66">
        <f>SUM(J144:R144)</f>
        <v>14000</v>
      </c>
      <c r="T144" s="67">
        <v>2024</v>
      </c>
      <c r="V144" s="90"/>
      <c r="W144" s="90"/>
    </row>
    <row r="145" spans="1:23" ht="15" x14ac:dyDescent="0.2">
      <c r="A145" s="61" t="s">
        <v>328</v>
      </c>
      <c r="B145" s="61">
        <v>1</v>
      </c>
      <c r="C145" s="61">
        <v>2</v>
      </c>
      <c r="D145" s="61">
        <v>1</v>
      </c>
      <c r="E145" s="61">
        <v>1</v>
      </c>
      <c r="F145" s="61">
        <v>5</v>
      </c>
      <c r="G145" s="61"/>
      <c r="H145" s="62" t="s">
        <v>244</v>
      </c>
      <c r="I145" s="63" t="s">
        <v>92</v>
      </c>
      <c r="J145" s="126"/>
      <c r="K145" s="126"/>
      <c r="L145" s="117"/>
      <c r="M145" s="128"/>
      <c r="N145" s="61"/>
      <c r="O145" s="117"/>
      <c r="P145" s="128"/>
      <c r="Q145" s="61"/>
      <c r="R145" s="61">
        <f>384.14+147.86</f>
        <v>532</v>
      </c>
      <c r="S145" s="66">
        <f>SUM(J145:R145)</f>
        <v>532</v>
      </c>
      <c r="T145" s="67">
        <v>2024</v>
      </c>
      <c r="V145" s="90"/>
      <c r="W145" s="90"/>
    </row>
    <row r="146" spans="1:23" ht="57" customHeight="1" x14ac:dyDescent="0.2">
      <c r="A146" s="61" t="s">
        <v>328</v>
      </c>
      <c r="B146" s="61">
        <v>1</v>
      </c>
      <c r="C146" s="61">
        <v>2</v>
      </c>
      <c r="D146" s="61">
        <v>1</v>
      </c>
      <c r="E146" s="61">
        <v>1</v>
      </c>
      <c r="F146" s="61">
        <v>6</v>
      </c>
      <c r="G146" s="61">
        <v>3</v>
      </c>
      <c r="H146" s="62" t="s">
        <v>439</v>
      </c>
      <c r="I146" s="63" t="s">
        <v>259</v>
      </c>
      <c r="J146" s="71">
        <v>0</v>
      </c>
      <c r="K146" s="71">
        <v>2350</v>
      </c>
      <c r="L146" s="71">
        <v>2350</v>
      </c>
      <c r="M146" s="71">
        <v>0</v>
      </c>
      <c r="N146" s="71">
        <v>0</v>
      </c>
      <c r="O146" s="71">
        <v>1000</v>
      </c>
      <c r="P146" s="71">
        <v>0</v>
      </c>
      <c r="Q146" s="71">
        <v>1000</v>
      </c>
      <c r="R146" s="71">
        <v>0</v>
      </c>
      <c r="S146" s="66">
        <f>SUM(J146:R146)</f>
        <v>6700</v>
      </c>
      <c r="T146" s="67">
        <v>2023</v>
      </c>
      <c r="V146" s="90"/>
      <c r="W146" s="90"/>
    </row>
    <row r="147" spans="1:23" ht="15" x14ac:dyDescent="0.2">
      <c r="A147" s="61" t="s">
        <v>328</v>
      </c>
      <c r="B147" s="61">
        <v>1</v>
      </c>
      <c r="C147" s="61">
        <v>2</v>
      </c>
      <c r="D147" s="61">
        <v>1</v>
      </c>
      <c r="E147" s="61">
        <v>1</v>
      </c>
      <c r="F147" s="61">
        <v>6</v>
      </c>
      <c r="G147" s="61"/>
      <c r="H147" s="62" t="s">
        <v>412</v>
      </c>
      <c r="I147" s="63" t="s">
        <v>260</v>
      </c>
      <c r="J147" s="129"/>
      <c r="K147" s="129">
        <v>1</v>
      </c>
      <c r="L147" s="129">
        <v>1</v>
      </c>
      <c r="M147" s="130"/>
      <c r="N147" s="95"/>
      <c r="O147" s="95"/>
      <c r="P147" s="95"/>
      <c r="Q147" s="95"/>
      <c r="R147" s="95"/>
      <c r="S147" s="95">
        <v>2</v>
      </c>
      <c r="T147" s="67">
        <v>2018</v>
      </c>
      <c r="V147" s="90"/>
      <c r="W147" s="90"/>
    </row>
    <row r="148" spans="1:23" ht="30" x14ac:dyDescent="0.2">
      <c r="A148" s="61" t="s">
        <v>328</v>
      </c>
      <c r="B148" s="61">
        <v>1</v>
      </c>
      <c r="C148" s="61">
        <v>2</v>
      </c>
      <c r="D148" s="61">
        <v>1</v>
      </c>
      <c r="E148" s="61">
        <v>1</v>
      </c>
      <c r="F148" s="61">
        <v>6</v>
      </c>
      <c r="G148" s="61"/>
      <c r="H148" s="62" t="s">
        <v>314</v>
      </c>
      <c r="I148" s="63" t="s">
        <v>220</v>
      </c>
      <c r="J148" s="129"/>
      <c r="K148" s="129"/>
      <c r="L148" s="129"/>
      <c r="M148" s="130"/>
      <c r="N148" s="66"/>
      <c r="O148" s="66">
        <v>9.1999999999999993</v>
      </c>
      <c r="P148" s="95"/>
      <c r="Q148" s="95"/>
      <c r="R148" s="95"/>
      <c r="S148" s="66">
        <f>SUM(J148:R148)</f>
        <v>9.1999999999999993</v>
      </c>
      <c r="T148" s="67">
        <v>2021</v>
      </c>
      <c r="V148" s="90"/>
      <c r="W148" s="90"/>
    </row>
    <row r="149" spans="1:23" ht="15" x14ac:dyDescent="0.2">
      <c r="A149" s="61" t="s">
        <v>328</v>
      </c>
      <c r="B149" s="61">
        <v>1</v>
      </c>
      <c r="C149" s="61">
        <v>2</v>
      </c>
      <c r="D149" s="61">
        <v>1</v>
      </c>
      <c r="E149" s="61">
        <v>1</v>
      </c>
      <c r="F149" s="61">
        <v>6</v>
      </c>
      <c r="G149" s="61"/>
      <c r="H149" s="62" t="s">
        <v>312</v>
      </c>
      <c r="I149" s="63" t="s">
        <v>384</v>
      </c>
      <c r="J149" s="129"/>
      <c r="K149" s="129"/>
      <c r="L149" s="129"/>
      <c r="M149" s="130"/>
      <c r="N149" s="95"/>
      <c r="O149" s="95"/>
      <c r="P149" s="66"/>
      <c r="Q149" s="131">
        <v>1.8660000000000001</v>
      </c>
      <c r="R149" s="95"/>
      <c r="S149" s="131">
        <f>SUM(J149:R149)</f>
        <v>1.8660000000000001</v>
      </c>
      <c r="T149" s="67">
        <v>2023</v>
      </c>
      <c r="V149" s="90"/>
      <c r="W149" s="90"/>
    </row>
    <row r="150" spans="1:23" ht="30" x14ac:dyDescent="0.2">
      <c r="A150" s="61" t="s">
        <v>328</v>
      </c>
      <c r="B150" s="61">
        <v>1</v>
      </c>
      <c r="C150" s="61">
        <v>2</v>
      </c>
      <c r="D150" s="61">
        <v>1</v>
      </c>
      <c r="E150" s="61">
        <v>1</v>
      </c>
      <c r="F150" s="61">
        <v>7</v>
      </c>
      <c r="G150" s="61">
        <v>3</v>
      </c>
      <c r="H150" s="62" t="s">
        <v>9</v>
      </c>
      <c r="I150" s="63" t="s">
        <v>259</v>
      </c>
      <c r="J150" s="71">
        <f>121.5-0.1</f>
        <v>121.4</v>
      </c>
      <c r="K150" s="71">
        <v>0</v>
      </c>
      <c r="L150" s="71">
        <v>0</v>
      </c>
      <c r="M150" s="71">
        <v>0</v>
      </c>
      <c r="N150" s="71">
        <v>0</v>
      </c>
      <c r="O150" s="71">
        <v>0</v>
      </c>
      <c r="P150" s="71">
        <v>0</v>
      </c>
      <c r="Q150" s="71">
        <v>0</v>
      </c>
      <c r="R150" s="71">
        <v>0</v>
      </c>
      <c r="S150" s="66">
        <f>SUM(J150:R150)</f>
        <v>121.4</v>
      </c>
      <c r="T150" s="67">
        <v>2016</v>
      </c>
      <c r="V150" s="90"/>
      <c r="W150" s="90"/>
    </row>
    <row r="151" spans="1:23" ht="30" x14ac:dyDescent="0.2">
      <c r="A151" s="61" t="s">
        <v>328</v>
      </c>
      <c r="B151" s="61">
        <v>1</v>
      </c>
      <c r="C151" s="61">
        <v>2</v>
      </c>
      <c r="D151" s="61">
        <v>1</v>
      </c>
      <c r="E151" s="61">
        <v>1</v>
      </c>
      <c r="F151" s="61">
        <v>7</v>
      </c>
      <c r="G151" s="61"/>
      <c r="H151" s="62" t="s">
        <v>175</v>
      </c>
      <c r="I151" s="63" t="s">
        <v>260</v>
      </c>
      <c r="J151" s="129">
        <v>2</v>
      </c>
      <c r="K151" s="129"/>
      <c r="L151" s="129"/>
      <c r="M151" s="130"/>
      <c r="N151" s="95"/>
      <c r="O151" s="95"/>
      <c r="P151" s="95"/>
      <c r="Q151" s="95"/>
      <c r="R151" s="95"/>
      <c r="S151" s="95">
        <f>SUM(J151:O151)</f>
        <v>2</v>
      </c>
      <c r="T151" s="67">
        <v>2016</v>
      </c>
      <c r="V151" s="90"/>
      <c r="W151" s="90"/>
    </row>
    <row r="152" spans="1:23" ht="45" x14ac:dyDescent="0.2">
      <c r="A152" s="61" t="s">
        <v>328</v>
      </c>
      <c r="B152" s="61">
        <v>1</v>
      </c>
      <c r="C152" s="61">
        <v>2</v>
      </c>
      <c r="D152" s="61">
        <v>1</v>
      </c>
      <c r="E152" s="61">
        <v>1</v>
      </c>
      <c r="F152" s="61">
        <v>8</v>
      </c>
      <c r="G152" s="61">
        <v>3</v>
      </c>
      <c r="H152" s="62" t="s">
        <v>422</v>
      </c>
      <c r="I152" s="63" t="s">
        <v>259</v>
      </c>
      <c r="J152" s="71">
        <v>0</v>
      </c>
      <c r="K152" s="71">
        <v>0</v>
      </c>
      <c r="L152" s="71">
        <v>0</v>
      </c>
      <c r="M152" s="71">
        <v>0</v>
      </c>
      <c r="N152" s="71">
        <v>0</v>
      </c>
      <c r="O152" s="71">
        <v>1000</v>
      </c>
      <c r="P152" s="71">
        <v>0</v>
      </c>
      <c r="Q152" s="71">
        <v>1000</v>
      </c>
      <c r="R152" s="71">
        <v>0</v>
      </c>
      <c r="S152" s="66">
        <f>SUM(J152:R152)</f>
        <v>2000</v>
      </c>
      <c r="T152" s="67">
        <v>2023</v>
      </c>
      <c r="V152" s="90"/>
      <c r="W152" s="90"/>
    </row>
    <row r="153" spans="1:23" ht="15" x14ac:dyDescent="0.2">
      <c r="A153" s="61" t="s">
        <v>328</v>
      </c>
      <c r="B153" s="61">
        <v>1</v>
      </c>
      <c r="C153" s="61">
        <v>2</v>
      </c>
      <c r="D153" s="61">
        <v>1</v>
      </c>
      <c r="E153" s="61">
        <v>1</v>
      </c>
      <c r="F153" s="61">
        <v>8</v>
      </c>
      <c r="G153" s="61"/>
      <c r="H153" s="62" t="s">
        <v>464</v>
      </c>
      <c r="I153" s="63" t="s">
        <v>260</v>
      </c>
      <c r="J153" s="129"/>
      <c r="K153" s="129"/>
      <c r="L153" s="129"/>
      <c r="M153" s="130"/>
      <c r="N153" s="95"/>
      <c r="O153" s="95">
        <v>1</v>
      </c>
      <c r="P153" s="95"/>
      <c r="Q153" s="95"/>
      <c r="R153" s="95"/>
      <c r="S153" s="66">
        <f>SUM(J153:R153)</f>
        <v>1</v>
      </c>
      <c r="T153" s="67">
        <v>2021</v>
      </c>
      <c r="V153" s="90"/>
      <c r="W153" s="90"/>
    </row>
    <row r="154" spans="1:23" ht="30" x14ac:dyDescent="0.2">
      <c r="A154" s="61" t="s">
        <v>328</v>
      </c>
      <c r="B154" s="61">
        <v>1</v>
      </c>
      <c r="C154" s="61">
        <v>2</v>
      </c>
      <c r="D154" s="61">
        <v>1</v>
      </c>
      <c r="E154" s="61">
        <v>1</v>
      </c>
      <c r="F154" s="61">
        <v>8</v>
      </c>
      <c r="G154" s="61"/>
      <c r="H154" s="62" t="s">
        <v>465</v>
      </c>
      <c r="I154" s="63" t="s">
        <v>313</v>
      </c>
      <c r="J154" s="125"/>
      <c r="K154" s="126"/>
      <c r="L154" s="117"/>
      <c r="M154" s="128"/>
      <c r="N154" s="61"/>
      <c r="O154" s="95"/>
      <c r="P154" s="95"/>
      <c r="Q154" s="131">
        <v>2.9820000000000002</v>
      </c>
      <c r="R154" s="95"/>
      <c r="S154" s="131">
        <f>SUM(J154:R154)</f>
        <v>2.9820000000000002</v>
      </c>
      <c r="T154" s="67">
        <v>2023</v>
      </c>
      <c r="V154" s="90"/>
      <c r="W154" s="90"/>
    </row>
    <row r="155" spans="1:23" ht="45" x14ac:dyDescent="0.2">
      <c r="A155" s="61" t="s">
        <v>328</v>
      </c>
      <c r="B155" s="61">
        <v>1</v>
      </c>
      <c r="C155" s="61">
        <v>2</v>
      </c>
      <c r="D155" s="61">
        <v>1</v>
      </c>
      <c r="E155" s="61">
        <v>1</v>
      </c>
      <c r="F155" s="61">
        <v>9</v>
      </c>
      <c r="G155" s="61"/>
      <c r="H155" s="62" t="s">
        <v>435</v>
      </c>
      <c r="I155" s="63" t="s">
        <v>259</v>
      </c>
      <c r="J155" s="71">
        <f t="shared" ref="J155:R155" si="39">J156+J157</f>
        <v>0</v>
      </c>
      <c r="K155" s="71">
        <f t="shared" si="39"/>
        <v>0</v>
      </c>
      <c r="L155" s="71">
        <f t="shared" si="39"/>
        <v>0</v>
      </c>
      <c r="M155" s="71">
        <f t="shared" si="39"/>
        <v>0</v>
      </c>
      <c r="N155" s="71">
        <f t="shared" si="39"/>
        <v>460</v>
      </c>
      <c r="O155" s="71">
        <f t="shared" si="39"/>
        <v>0</v>
      </c>
      <c r="P155" s="71">
        <f t="shared" si="39"/>
        <v>397114.2</v>
      </c>
      <c r="Q155" s="71">
        <f t="shared" si="39"/>
        <v>2472</v>
      </c>
      <c r="R155" s="71">
        <f t="shared" si="39"/>
        <v>0</v>
      </c>
      <c r="S155" s="66">
        <f>SUM(J155:R155)</f>
        <v>400046.2</v>
      </c>
      <c r="T155" s="67">
        <v>2023</v>
      </c>
      <c r="V155" s="90"/>
      <c r="W155" s="90"/>
    </row>
    <row r="156" spans="1:23" ht="15" x14ac:dyDescent="0.2">
      <c r="A156" s="61" t="s">
        <v>328</v>
      </c>
      <c r="B156" s="61">
        <v>1</v>
      </c>
      <c r="C156" s="61">
        <v>2</v>
      </c>
      <c r="D156" s="61">
        <v>1</v>
      </c>
      <c r="E156" s="61">
        <v>1</v>
      </c>
      <c r="F156" s="61">
        <v>9</v>
      </c>
      <c r="G156" s="61">
        <v>1</v>
      </c>
      <c r="H156" s="62" t="s">
        <v>218</v>
      </c>
      <c r="I156" s="63" t="s">
        <v>259</v>
      </c>
      <c r="J156" s="117"/>
      <c r="K156" s="117"/>
      <c r="L156" s="117"/>
      <c r="M156" s="113"/>
      <c r="N156" s="71"/>
      <c r="O156" s="71"/>
      <c r="P156" s="71">
        <v>396497.4</v>
      </c>
      <c r="Q156" s="71"/>
      <c r="R156" s="71"/>
      <c r="S156" s="66">
        <f t="shared" ref="S156:S167" si="40">SUM(J156:R156)</f>
        <v>396497.4</v>
      </c>
      <c r="T156" s="67">
        <v>2022</v>
      </c>
      <c r="V156" s="90"/>
      <c r="W156" s="90"/>
    </row>
    <row r="157" spans="1:23" ht="15" x14ac:dyDescent="0.2">
      <c r="A157" s="61" t="s">
        <v>328</v>
      </c>
      <c r="B157" s="61">
        <v>1</v>
      </c>
      <c r="C157" s="61">
        <v>2</v>
      </c>
      <c r="D157" s="61">
        <v>1</v>
      </c>
      <c r="E157" s="61">
        <v>1</v>
      </c>
      <c r="F157" s="61">
        <v>9</v>
      </c>
      <c r="G157" s="61">
        <v>3</v>
      </c>
      <c r="H157" s="62" t="s">
        <v>229</v>
      </c>
      <c r="I157" s="63" t="s">
        <v>259</v>
      </c>
      <c r="J157" s="117"/>
      <c r="K157" s="117"/>
      <c r="L157" s="117"/>
      <c r="M157" s="113"/>
      <c r="N157" s="71">
        <v>460</v>
      </c>
      <c r="O157" s="71"/>
      <c r="P157" s="71">
        <v>616.79999999999995</v>
      </c>
      <c r="Q157" s="71">
        <v>2472</v>
      </c>
      <c r="R157" s="71"/>
      <c r="S157" s="66">
        <f t="shared" si="40"/>
        <v>3548.8</v>
      </c>
      <c r="T157" s="67">
        <v>2023</v>
      </c>
      <c r="V157" s="90"/>
      <c r="W157" s="90"/>
    </row>
    <row r="158" spans="1:23" ht="30" x14ac:dyDescent="0.2">
      <c r="A158" s="61"/>
      <c r="B158" s="61">
        <v>1</v>
      </c>
      <c r="C158" s="61">
        <v>2</v>
      </c>
      <c r="D158" s="61">
        <v>1</v>
      </c>
      <c r="E158" s="61">
        <v>1</v>
      </c>
      <c r="F158" s="61">
        <v>9</v>
      </c>
      <c r="G158" s="61"/>
      <c r="H158" s="62" t="s">
        <v>467</v>
      </c>
      <c r="I158" s="63" t="s">
        <v>260</v>
      </c>
      <c r="J158" s="117"/>
      <c r="K158" s="117"/>
      <c r="L158" s="117"/>
      <c r="M158" s="113"/>
      <c r="N158" s="71">
        <v>1</v>
      </c>
      <c r="O158" s="71"/>
      <c r="P158" s="71"/>
      <c r="Q158" s="71"/>
      <c r="R158" s="71"/>
      <c r="S158" s="66">
        <f t="shared" si="40"/>
        <v>1</v>
      </c>
      <c r="T158" s="67">
        <v>2020</v>
      </c>
      <c r="V158" s="90"/>
      <c r="W158" s="90"/>
    </row>
    <row r="159" spans="1:23" ht="30" x14ac:dyDescent="0.2">
      <c r="A159" s="61"/>
      <c r="B159" s="61">
        <v>1</v>
      </c>
      <c r="C159" s="61">
        <v>2</v>
      </c>
      <c r="D159" s="61">
        <v>1</v>
      </c>
      <c r="E159" s="61">
        <v>1</v>
      </c>
      <c r="F159" s="61">
        <v>9</v>
      </c>
      <c r="G159" s="61"/>
      <c r="H159" s="62" t="s">
        <v>468</v>
      </c>
      <c r="I159" s="63" t="s">
        <v>220</v>
      </c>
      <c r="J159" s="117"/>
      <c r="K159" s="117"/>
      <c r="L159" s="117"/>
      <c r="M159" s="113"/>
      <c r="N159" s="71"/>
      <c r="O159" s="71"/>
      <c r="P159" s="71">
        <v>58.1</v>
      </c>
      <c r="Q159" s="71"/>
      <c r="R159" s="71"/>
      <c r="S159" s="66">
        <f t="shared" si="40"/>
        <v>58.1</v>
      </c>
      <c r="T159" s="67">
        <v>2022</v>
      </c>
      <c r="V159" s="90"/>
      <c r="W159" s="90"/>
    </row>
    <row r="160" spans="1:23" ht="30" x14ac:dyDescent="0.2">
      <c r="A160" s="61" t="s">
        <v>328</v>
      </c>
      <c r="B160" s="61">
        <v>1</v>
      </c>
      <c r="C160" s="61">
        <v>2</v>
      </c>
      <c r="D160" s="61">
        <v>1</v>
      </c>
      <c r="E160" s="61">
        <v>1</v>
      </c>
      <c r="F160" s="61">
        <v>9</v>
      </c>
      <c r="G160" s="61"/>
      <c r="H160" s="62" t="s">
        <v>463</v>
      </c>
      <c r="I160" s="63" t="s">
        <v>384</v>
      </c>
      <c r="J160" s="125"/>
      <c r="K160" s="126"/>
      <c r="L160" s="117"/>
      <c r="M160" s="128"/>
      <c r="N160" s="61"/>
      <c r="O160" s="66"/>
      <c r="P160" s="66"/>
      <c r="Q160" s="66">
        <v>2.9</v>
      </c>
      <c r="R160" s="66"/>
      <c r="S160" s="66">
        <f t="shared" si="40"/>
        <v>2.9</v>
      </c>
      <c r="T160" s="67">
        <v>2023</v>
      </c>
      <c r="V160" s="90"/>
      <c r="W160" s="90"/>
    </row>
    <row r="161" spans="1:23" ht="30" x14ac:dyDescent="0.2">
      <c r="A161" s="61" t="s">
        <v>328</v>
      </c>
      <c r="B161" s="61">
        <v>1</v>
      </c>
      <c r="C161" s="61">
        <v>2</v>
      </c>
      <c r="D161" s="61">
        <v>1</v>
      </c>
      <c r="E161" s="61">
        <v>2</v>
      </c>
      <c r="F161" s="61">
        <v>0</v>
      </c>
      <c r="G161" s="61">
        <v>3</v>
      </c>
      <c r="H161" s="62" t="s">
        <v>425</v>
      </c>
      <c r="I161" s="63" t="s">
        <v>259</v>
      </c>
      <c r="J161" s="82">
        <f>J162</f>
        <v>0</v>
      </c>
      <c r="K161" s="82">
        <v>4838</v>
      </c>
      <c r="L161" s="82"/>
      <c r="M161" s="82">
        <v>16837.5</v>
      </c>
      <c r="N161" s="82">
        <v>36904.6</v>
      </c>
      <c r="O161" s="82"/>
      <c r="P161" s="82"/>
      <c r="Q161" s="82"/>
      <c r="R161" s="82"/>
      <c r="S161" s="66">
        <f t="shared" si="40"/>
        <v>58580.1</v>
      </c>
      <c r="T161" s="67">
        <v>2020</v>
      </c>
      <c r="V161" s="90"/>
      <c r="W161" s="90"/>
    </row>
    <row r="162" spans="1:23" ht="15" x14ac:dyDescent="0.2">
      <c r="A162" s="61" t="s">
        <v>328</v>
      </c>
      <c r="B162" s="61">
        <v>1</v>
      </c>
      <c r="C162" s="61">
        <v>2</v>
      </c>
      <c r="D162" s="61">
        <v>1</v>
      </c>
      <c r="E162" s="61">
        <v>2</v>
      </c>
      <c r="F162" s="61">
        <v>0</v>
      </c>
      <c r="G162" s="61"/>
      <c r="H162" s="62" t="s">
        <v>72</v>
      </c>
      <c r="I162" s="63" t="s">
        <v>83</v>
      </c>
      <c r="J162" s="125"/>
      <c r="K162" s="126">
        <v>226</v>
      </c>
      <c r="L162" s="117"/>
      <c r="M162" s="128">
        <f>660*0.8</f>
        <v>528</v>
      </c>
      <c r="N162" s="61"/>
      <c r="O162" s="66"/>
      <c r="P162" s="66"/>
      <c r="Q162" s="66"/>
      <c r="R162" s="66"/>
      <c r="S162" s="66">
        <f t="shared" si="40"/>
        <v>754</v>
      </c>
      <c r="T162" s="67">
        <v>2019</v>
      </c>
      <c r="V162" s="90"/>
      <c r="W162" s="90"/>
    </row>
    <row r="163" spans="1:23" ht="30" x14ac:dyDescent="0.2">
      <c r="A163" s="61" t="s">
        <v>328</v>
      </c>
      <c r="B163" s="61">
        <v>1</v>
      </c>
      <c r="C163" s="61">
        <v>2</v>
      </c>
      <c r="D163" s="61">
        <v>1</v>
      </c>
      <c r="E163" s="61">
        <v>2</v>
      </c>
      <c r="F163" s="61">
        <v>0</v>
      </c>
      <c r="G163" s="61"/>
      <c r="H163" s="62" t="s">
        <v>360</v>
      </c>
      <c r="I163" s="63" t="s">
        <v>260</v>
      </c>
      <c r="J163" s="125"/>
      <c r="K163" s="126"/>
      <c r="L163" s="129"/>
      <c r="M163" s="128">
        <v>1</v>
      </c>
      <c r="N163" s="61"/>
      <c r="O163" s="66"/>
      <c r="P163" s="66"/>
      <c r="Q163" s="66"/>
      <c r="R163" s="66"/>
      <c r="S163" s="66">
        <f t="shared" si="40"/>
        <v>1</v>
      </c>
      <c r="T163" s="67">
        <v>2019</v>
      </c>
      <c r="V163" s="90"/>
      <c r="W163" s="90"/>
    </row>
    <row r="164" spans="1:23" ht="30" x14ac:dyDescent="0.2">
      <c r="A164" s="61" t="s">
        <v>328</v>
      </c>
      <c r="B164" s="61">
        <v>1</v>
      </c>
      <c r="C164" s="61">
        <v>2</v>
      </c>
      <c r="D164" s="61">
        <v>1</v>
      </c>
      <c r="E164" s="61">
        <v>2</v>
      </c>
      <c r="F164" s="61">
        <v>0</v>
      </c>
      <c r="G164" s="61"/>
      <c r="H164" s="62" t="s">
        <v>361</v>
      </c>
      <c r="I164" s="63" t="s">
        <v>83</v>
      </c>
      <c r="J164" s="125"/>
      <c r="K164" s="126"/>
      <c r="L164" s="117"/>
      <c r="M164" s="128"/>
      <c r="N164" s="70">
        <v>592</v>
      </c>
      <c r="O164" s="95"/>
      <c r="P164" s="95"/>
      <c r="Q164" s="95"/>
      <c r="R164" s="95"/>
      <c r="S164" s="66">
        <f t="shared" si="40"/>
        <v>592</v>
      </c>
      <c r="T164" s="67">
        <v>2020</v>
      </c>
      <c r="V164" s="90"/>
      <c r="W164" s="90"/>
    </row>
    <row r="165" spans="1:23" ht="28.5" customHeight="1" x14ac:dyDescent="0.2">
      <c r="A165" s="61" t="s">
        <v>328</v>
      </c>
      <c r="B165" s="61">
        <v>1</v>
      </c>
      <c r="C165" s="61">
        <v>2</v>
      </c>
      <c r="D165" s="61">
        <v>1</v>
      </c>
      <c r="E165" s="61">
        <v>2</v>
      </c>
      <c r="F165" s="61">
        <v>1</v>
      </c>
      <c r="G165" s="61"/>
      <c r="H165" s="62" t="s">
        <v>118</v>
      </c>
      <c r="I165" s="63" t="s">
        <v>259</v>
      </c>
      <c r="J165" s="117"/>
      <c r="K165" s="66"/>
      <c r="L165" s="66">
        <f>L166+L167</f>
        <v>2104.4</v>
      </c>
      <c r="M165" s="66">
        <f t="shared" ref="M165:R165" si="41">M166+M167</f>
        <v>2104.4</v>
      </c>
      <c r="N165" s="66">
        <f t="shared" si="41"/>
        <v>29000</v>
      </c>
      <c r="O165" s="66">
        <f t="shared" si="41"/>
        <v>33000</v>
      </c>
      <c r="P165" s="66">
        <f t="shared" si="41"/>
        <v>307245.09999999998</v>
      </c>
      <c r="Q165" s="66">
        <f t="shared" si="41"/>
        <v>0</v>
      </c>
      <c r="R165" s="66">
        <f t="shared" si="41"/>
        <v>0</v>
      </c>
      <c r="S165" s="66">
        <f t="shared" si="40"/>
        <v>373453.89999999997</v>
      </c>
      <c r="T165" s="67">
        <v>2022</v>
      </c>
      <c r="V165" s="90"/>
      <c r="W165" s="90"/>
    </row>
    <row r="166" spans="1:23" ht="28.5" customHeight="1" x14ac:dyDescent="0.2">
      <c r="A166" s="61" t="s">
        <v>328</v>
      </c>
      <c r="B166" s="61">
        <v>1</v>
      </c>
      <c r="C166" s="61">
        <v>2</v>
      </c>
      <c r="D166" s="61">
        <v>1</v>
      </c>
      <c r="E166" s="61">
        <v>2</v>
      </c>
      <c r="F166" s="61">
        <v>1</v>
      </c>
      <c r="G166" s="61">
        <v>2</v>
      </c>
      <c r="H166" s="62" t="s">
        <v>228</v>
      </c>
      <c r="I166" s="63" t="s">
        <v>259</v>
      </c>
      <c r="J166" s="117"/>
      <c r="K166" s="66"/>
      <c r="L166" s="66"/>
      <c r="M166" s="66"/>
      <c r="N166" s="66">
        <v>20000</v>
      </c>
      <c r="O166" s="66"/>
      <c r="P166" s="66"/>
      <c r="Q166" s="66"/>
      <c r="R166" s="66"/>
      <c r="S166" s="66">
        <f t="shared" si="40"/>
        <v>20000</v>
      </c>
      <c r="T166" s="67">
        <v>2020</v>
      </c>
      <c r="V166" s="90"/>
      <c r="W166" s="90"/>
    </row>
    <row r="167" spans="1:23" ht="28.5" customHeight="1" x14ac:dyDescent="0.2">
      <c r="A167" s="61" t="s">
        <v>328</v>
      </c>
      <c r="B167" s="61">
        <v>1</v>
      </c>
      <c r="C167" s="61">
        <v>2</v>
      </c>
      <c r="D167" s="61">
        <v>1</v>
      </c>
      <c r="E167" s="61">
        <v>2</v>
      </c>
      <c r="F167" s="61">
        <v>1</v>
      </c>
      <c r="G167" s="61">
        <v>3</v>
      </c>
      <c r="H167" s="62" t="s">
        <v>229</v>
      </c>
      <c r="I167" s="63" t="s">
        <v>259</v>
      </c>
      <c r="J167" s="117"/>
      <c r="K167" s="66"/>
      <c r="L167" s="66">
        <v>2104.4</v>
      </c>
      <c r="M167" s="66">
        <v>2104.4</v>
      </c>
      <c r="N167" s="66">
        <v>9000</v>
      </c>
      <c r="O167" s="66">
        <v>33000</v>
      </c>
      <c r="P167" s="66">
        <v>307245.09999999998</v>
      </c>
      <c r="Q167" s="66"/>
      <c r="R167" s="66"/>
      <c r="S167" s="66">
        <f t="shared" si="40"/>
        <v>353453.89999999997</v>
      </c>
      <c r="T167" s="67">
        <v>2022</v>
      </c>
      <c r="V167" s="90"/>
      <c r="W167" s="90"/>
    </row>
    <row r="168" spans="1:23" ht="30" x14ac:dyDescent="0.2">
      <c r="A168" s="61" t="s">
        <v>328</v>
      </c>
      <c r="B168" s="61">
        <v>1</v>
      </c>
      <c r="C168" s="61">
        <v>2</v>
      </c>
      <c r="D168" s="61">
        <v>1</v>
      </c>
      <c r="E168" s="61">
        <v>2</v>
      </c>
      <c r="F168" s="61">
        <v>1</v>
      </c>
      <c r="G168" s="61"/>
      <c r="H168" s="62" t="s">
        <v>58</v>
      </c>
      <c r="I168" s="63" t="s">
        <v>260</v>
      </c>
      <c r="J168" s="125"/>
      <c r="K168" s="70"/>
      <c r="L168" s="70">
        <v>1</v>
      </c>
      <c r="M168" s="70">
        <v>1</v>
      </c>
      <c r="N168" s="70"/>
      <c r="O168" s="66"/>
      <c r="P168" s="66"/>
      <c r="Q168" s="66"/>
      <c r="R168" s="66"/>
      <c r="S168" s="66">
        <f t="shared" ref="S168:S178" si="42">SUM(J168:R168)</f>
        <v>2</v>
      </c>
      <c r="T168" s="67">
        <v>2019</v>
      </c>
      <c r="V168" s="90"/>
      <c r="W168" s="90"/>
    </row>
    <row r="169" spans="1:23" ht="30" x14ac:dyDescent="0.2">
      <c r="A169" s="61" t="s">
        <v>328</v>
      </c>
      <c r="B169" s="61">
        <v>1</v>
      </c>
      <c r="C169" s="61">
        <v>2</v>
      </c>
      <c r="D169" s="61">
        <v>1</v>
      </c>
      <c r="E169" s="61">
        <v>2</v>
      </c>
      <c r="F169" s="61">
        <v>1</v>
      </c>
      <c r="G169" s="61"/>
      <c r="H169" s="62" t="s">
        <v>437</v>
      </c>
      <c r="I169" s="63" t="s">
        <v>83</v>
      </c>
      <c r="J169" s="125"/>
      <c r="K169" s="132"/>
      <c r="L169" s="70"/>
      <c r="M169" s="70"/>
      <c r="N169" s="67">
        <v>130</v>
      </c>
      <c r="O169" s="67">
        <v>410</v>
      </c>
      <c r="P169" s="66"/>
      <c r="Q169" s="66"/>
      <c r="R169" s="66"/>
      <c r="S169" s="66">
        <f t="shared" si="42"/>
        <v>540</v>
      </c>
      <c r="T169" s="67">
        <v>2021</v>
      </c>
      <c r="V169" s="90"/>
      <c r="W169" s="90"/>
    </row>
    <row r="170" spans="1:23" ht="30" x14ac:dyDescent="0.2">
      <c r="A170" s="61" t="s">
        <v>328</v>
      </c>
      <c r="B170" s="61">
        <v>1</v>
      </c>
      <c r="C170" s="61">
        <v>2</v>
      </c>
      <c r="D170" s="61">
        <v>1</v>
      </c>
      <c r="E170" s="61">
        <v>2</v>
      </c>
      <c r="F170" s="61">
        <v>1</v>
      </c>
      <c r="G170" s="61"/>
      <c r="H170" s="62" t="s">
        <v>436</v>
      </c>
      <c r="I170" s="63" t="s">
        <v>83</v>
      </c>
      <c r="J170" s="125"/>
      <c r="K170" s="132"/>
      <c r="L170" s="70"/>
      <c r="M170" s="70"/>
      <c r="N170" s="70"/>
      <c r="O170" s="66"/>
      <c r="P170" s="66">
        <v>1077.1500000000001</v>
      </c>
      <c r="Q170" s="66"/>
      <c r="R170" s="66"/>
      <c r="S170" s="66">
        <f t="shared" si="42"/>
        <v>1077.1500000000001</v>
      </c>
      <c r="T170" s="67">
        <v>2022</v>
      </c>
      <c r="V170" s="90"/>
      <c r="W170" s="90"/>
    </row>
    <row r="171" spans="1:23" ht="45" x14ac:dyDescent="0.2">
      <c r="A171" s="61" t="s">
        <v>328</v>
      </c>
      <c r="B171" s="61">
        <v>1</v>
      </c>
      <c r="C171" s="61">
        <v>2</v>
      </c>
      <c r="D171" s="61">
        <v>1</v>
      </c>
      <c r="E171" s="61">
        <v>2</v>
      </c>
      <c r="F171" s="61">
        <v>2</v>
      </c>
      <c r="G171" s="61">
        <v>3</v>
      </c>
      <c r="H171" s="62" t="s">
        <v>45</v>
      </c>
      <c r="I171" s="63" t="s">
        <v>259</v>
      </c>
      <c r="J171" s="117"/>
      <c r="K171" s="117"/>
      <c r="L171" s="66"/>
      <c r="M171" s="66">
        <v>539.70000000000005</v>
      </c>
      <c r="N171" s="66"/>
      <c r="O171" s="66">
        <v>5000</v>
      </c>
      <c r="P171" s="66"/>
      <c r="Q171" s="66"/>
      <c r="R171" s="66"/>
      <c r="S171" s="66">
        <f t="shared" si="42"/>
        <v>5539.7</v>
      </c>
      <c r="T171" s="67">
        <v>2021</v>
      </c>
      <c r="V171" s="90"/>
      <c r="W171" s="90"/>
    </row>
    <row r="172" spans="1:23" ht="30" x14ac:dyDescent="0.2">
      <c r="A172" s="61" t="s">
        <v>328</v>
      </c>
      <c r="B172" s="61">
        <v>1</v>
      </c>
      <c r="C172" s="61">
        <v>2</v>
      </c>
      <c r="D172" s="61">
        <v>1</v>
      </c>
      <c r="E172" s="61">
        <v>2</v>
      </c>
      <c r="F172" s="61">
        <v>2</v>
      </c>
      <c r="G172" s="61"/>
      <c r="H172" s="62" t="s">
        <v>359</v>
      </c>
      <c r="I172" s="63" t="s">
        <v>83</v>
      </c>
      <c r="J172" s="125"/>
      <c r="K172" s="126"/>
      <c r="L172" s="117"/>
      <c r="M172" s="70"/>
      <c r="N172" s="61"/>
      <c r="O172" s="70">
        <v>78.400000000000006</v>
      </c>
      <c r="P172" s="66"/>
      <c r="Q172" s="66"/>
      <c r="R172" s="66"/>
      <c r="S172" s="66">
        <f t="shared" si="42"/>
        <v>78.400000000000006</v>
      </c>
      <c r="T172" s="67">
        <v>2021</v>
      </c>
      <c r="V172" s="90"/>
    </row>
    <row r="173" spans="1:23" ht="15" x14ac:dyDescent="0.2">
      <c r="A173" s="61" t="s">
        <v>328</v>
      </c>
      <c r="B173" s="61">
        <v>1</v>
      </c>
      <c r="C173" s="61">
        <v>2</v>
      </c>
      <c r="D173" s="61">
        <v>1</v>
      </c>
      <c r="E173" s="61">
        <v>2</v>
      </c>
      <c r="F173" s="61">
        <v>2</v>
      </c>
      <c r="G173" s="61"/>
      <c r="H173" s="62" t="s">
        <v>138</v>
      </c>
      <c r="I173" s="63" t="s">
        <v>260</v>
      </c>
      <c r="J173" s="125"/>
      <c r="K173" s="126"/>
      <c r="L173" s="117"/>
      <c r="M173" s="133">
        <v>1</v>
      </c>
      <c r="N173" s="61"/>
      <c r="O173" s="66"/>
      <c r="P173" s="66"/>
      <c r="Q173" s="66"/>
      <c r="R173" s="66"/>
      <c r="S173" s="66">
        <f t="shared" si="42"/>
        <v>1</v>
      </c>
      <c r="T173" s="67">
        <v>2019</v>
      </c>
      <c r="V173" s="90"/>
    </row>
    <row r="174" spans="1:23" ht="30" x14ac:dyDescent="0.2">
      <c r="A174" s="61" t="s">
        <v>328</v>
      </c>
      <c r="B174" s="61">
        <v>1</v>
      </c>
      <c r="C174" s="61">
        <v>2</v>
      </c>
      <c r="D174" s="61">
        <v>1</v>
      </c>
      <c r="E174" s="61">
        <v>2</v>
      </c>
      <c r="F174" s="61">
        <v>3</v>
      </c>
      <c r="G174" s="61">
        <v>3</v>
      </c>
      <c r="H174" s="62" t="s">
        <v>16</v>
      </c>
      <c r="I174" s="63" t="s">
        <v>259</v>
      </c>
      <c r="J174" s="66"/>
      <c r="K174" s="66"/>
      <c r="L174" s="66"/>
      <c r="M174" s="66"/>
      <c r="N174" s="66"/>
      <c r="O174" s="66"/>
      <c r="P174" s="66"/>
      <c r="Q174" s="66">
        <v>5000</v>
      </c>
      <c r="R174" s="66">
        <v>30000</v>
      </c>
      <c r="S174" s="66">
        <f t="shared" si="42"/>
        <v>35000</v>
      </c>
      <c r="T174" s="67">
        <v>2024</v>
      </c>
      <c r="V174" s="90"/>
    </row>
    <row r="175" spans="1:23" ht="15" x14ac:dyDescent="0.2">
      <c r="A175" s="61" t="s">
        <v>328</v>
      </c>
      <c r="B175" s="61">
        <v>1</v>
      </c>
      <c r="C175" s="61">
        <v>2</v>
      </c>
      <c r="D175" s="61">
        <v>1</v>
      </c>
      <c r="E175" s="61">
        <v>2</v>
      </c>
      <c r="F175" s="61">
        <v>3</v>
      </c>
      <c r="G175" s="61"/>
      <c r="H175" s="62" t="s">
        <v>412</v>
      </c>
      <c r="I175" s="63" t="s">
        <v>260</v>
      </c>
      <c r="J175" s="125"/>
      <c r="K175" s="126"/>
      <c r="L175" s="117"/>
      <c r="M175" s="102"/>
      <c r="N175" s="61"/>
      <c r="O175" s="66"/>
      <c r="P175" s="66"/>
      <c r="Q175" s="66">
        <v>1</v>
      </c>
      <c r="R175" s="66"/>
      <c r="S175" s="66">
        <f t="shared" si="42"/>
        <v>1</v>
      </c>
      <c r="T175" s="67">
        <v>2023</v>
      </c>
      <c r="V175" s="90"/>
    </row>
    <row r="176" spans="1:23" ht="15" x14ac:dyDescent="0.2">
      <c r="A176" s="61" t="s">
        <v>328</v>
      </c>
      <c r="B176" s="61">
        <v>1</v>
      </c>
      <c r="C176" s="61">
        <v>2</v>
      </c>
      <c r="D176" s="61">
        <v>1</v>
      </c>
      <c r="E176" s="61">
        <v>2</v>
      </c>
      <c r="F176" s="61">
        <v>3</v>
      </c>
      <c r="G176" s="61"/>
      <c r="H176" s="62" t="s">
        <v>474</v>
      </c>
      <c r="I176" s="63" t="s">
        <v>83</v>
      </c>
      <c r="J176" s="125"/>
      <c r="K176" s="126"/>
      <c r="L176" s="117"/>
      <c r="M176" s="102"/>
      <c r="N176" s="61"/>
      <c r="O176" s="66"/>
      <c r="P176" s="66"/>
      <c r="Q176" s="66"/>
      <c r="R176" s="66">
        <v>112</v>
      </c>
      <c r="S176" s="66">
        <f t="shared" si="42"/>
        <v>112</v>
      </c>
      <c r="T176" s="67">
        <v>2024</v>
      </c>
      <c r="V176" s="90"/>
    </row>
    <row r="177" spans="1:27" ht="45" x14ac:dyDescent="0.2">
      <c r="A177" s="61" t="s">
        <v>328</v>
      </c>
      <c r="B177" s="61">
        <v>1</v>
      </c>
      <c r="C177" s="61">
        <v>2</v>
      </c>
      <c r="D177" s="61">
        <v>1</v>
      </c>
      <c r="E177" s="61">
        <v>2</v>
      </c>
      <c r="F177" s="61">
        <v>4</v>
      </c>
      <c r="G177" s="61">
        <v>3</v>
      </c>
      <c r="H177" s="62" t="s">
        <v>478</v>
      </c>
      <c r="I177" s="63" t="s">
        <v>259</v>
      </c>
      <c r="J177" s="125"/>
      <c r="K177" s="126"/>
      <c r="L177" s="117"/>
      <c r="M177" s="102"/>
      <c r="N177" s="61"/>
      <c r="O177" s="66">
        <v>4000</v>
      </c>
      <c r="P177" s="66"/>
      <c r="Q177" s="66"/>
      <c r="R177" s="66"/>
      <c r="S177" s="66">
        <f t="shared" si="42"/>
        <v>4000</v>
      </c>
      <c r="T177" s="67">
        <v>2021</v>
      </c>
      <c r="V177" s="90"/>
    </row>
    <row r="178" spans="1:27" ht="15" x14ac:dyDescent="0.2">
      <c r="A178" s="61" t="s">
        <v>328</v>
      </c>
      <c r="B178" s="61">
        <v>1</v>
      </c>
      <c r="C178" s="61">
        <v>2</v>
      </c>
      <c r="D178" s="61">
        <v>1</v>
      </c>
      <c r="E178" s="61">
        <v>2</v>
      </c>
      <c r="F178" s="61">
        <v>4</v>
      </c>
      <c r="G178" s="61"/>
      <c r="H178" s="62" t="s">
        <v>412</v>
      </c>
      <c r="I178" s="63" t="s">
        <v>260</v>
      </c>
      <c r="J178" s="125"/>
      <c r="K178" s="126"/>
      <c r="L178" s="117"/>
      <c r="M178" s="102"/>
      <c r="N178" s="61"/>
      <c r="O178" s="66">
        <v>1</v>
      </c>
      <c r="P178" s="66"/>
      <c r="Q178" s="66"/>
      <c r="R178" s="66"/>
      <c r="S178" s="66">
        <f t="shared" si="42"/>
        <v>1</v>
      </c>
      <c r="T178" s="67">
        <v>2021</v>
      </c>
      <c r="V178" s="90"/>
    </row>
    <row r="179" spans="1:27" ht="30" x14ac:dyDescent="0.2">
      <c r="A179" s="61" t="s">
        <v>328</v>
      </c>
      <c r="B179" s="61">
        <v>1</v>
      </c>
      <c r="C179" s="61">
        <v>2</v>
      </c>
      <c r="D179" s="61">
        <v>1</v>
      </c>
      <c r="E179" s="61">
        <v>2</v>
      </c>
      <c r="F179" s="61">
        <v>5</v>
      </c>
      <c r="G179" s="61">
        <v>3</v>
      </c>
      <c r="H179" s="62" t="s">
        <v>469</v>
      </c>
      <c r="I179" s="63" t="s">
        <v>259</v>
      </c>
      <c r="J179" s="125"/>
      <c r="K179" s="126"/>
      <c r="L179" s="117"/>
      <c r="M179" s="102"/>
      <c r="N179" s="61"/>
      <c r="O179" s="66">
        <v>800</v>
      </c>
      <c r="P179" s="66"/>
      <c r="Q179" s="66"/>
      <c r="R179" s="66">
        <v>16000</v>
      </c>
      <c r="S179" s="66">
        <v>16800</v>
      </c>
      <c r="T179" s="67">
        <v>2024</v>
      </c>
      <c r="V179" s="90"/>
    </row>
    <row r="180" spans="1:27" ht="15" x14ac:dyDescent="0.2">
      <c r="A180" s="61" t="s">
        <v>328</v>
      </c>
      <c r="B180" s="61">
        <v>1</v>
      </c>
      <c r="C180" s="61">
        <v>2</v>
      </c>
      <c r="D180" s="61">
        <v>1</v>
      </c>
      <c r="E180" s="61">
        <v>2</v>
      </c>
      <c r="F180" s="61">
        <v>5</v>
      </c>
      <c r="G180" s="61"/>
      <c r="H180" s="62" t="s">
        <v>412</v>
      </c>
      <c r="I180" s="63" t="s">
        <v>260</v>
      </c>
      <c r="J180" s="125"/>
      <c r="K180" s="126"/>
      <c r="L180" s="117"/>
      <c r="M180" s="102"/>
      <c r="N180" s="61"/>
      <c r="O180" s="66">
        <v>1</v>
      </c>
      <c r="P180" s="66"/>
      <c r="Q180" s="66"/>
      <c r="R180" s="66"/>
      <c r="S180" s="66">
        <v>1</v>
      </c>
      <c r="T180" s="67">
        <v>2021</v>
      </c>
      <c r="V180" s="90"/>
    </row>
    <row r="181" spans="1:27" ht="15" x14ac:dyDescent="0.2">
      <c r="A181" s="61" t="s">
        <v>328</v>
      </c>
      <c r="B181" s="61">
        <v>1</v>
      </c>
      <c r="C181" s="61">
        <v>2</v>
      </c>
      <c r="D181" s="61">
        <v>1</v>
      </c>
      <c r="E181" s="61">
        <v>2</v>
      </c>
      <c r="F181" s="61">
        <v>5</v>
      </c>
      <c r="G181" s="61"/>
      <c r="H181" s="62" t="s">
        <v>470</v>
      </c>
      <c r="I181" s="63" t="s">
        <v>260</v>
      </c>
      <c r="J181" s="125"/>
      <c r="K181" s="126"/>
      <c r="L181" s="117"/>
      <c r="M181" s="102"/>
      <c r="N181" s="61"/>
      <c r="O181" s="66"/>
      <c r="P181" s="66"/>
      <c r="Q181" s="66"/>
      <c r="R181" s="66">
        <v>175</v>
      </c>
      <c r="S181" s="66">
        <v>175</v>
      </c>
      <c r="T181" s="67">
        <v>2024</v>
      </c>
      <c r="V181" s="90"/>
    </row>
    <row r="182" spans="1:27" ht="15" x14ac:dyDescent="0.2">
      <c r="A182" s="61" t="s">
        <v>328</v>
      </c>
      <c r="B182" s="61">
        <v>1</v>
      </c>
      <c r="C182" s="61">
        <v>2</v>
      </c>
      <c r="D182" s="61">
        <v>2</v>
      </c>
      <c r="E182" s="61">
        <v>0</v>
      </c>
      <c r="F182" s="61">
        <v>0</v>
      </c>
      <c r="G182" s="61"/>
      <c r="H182" s="62" t="s">
        <v>266</v>
      </c>
      <c r="I182" s="63" t="s">
        <v>259</v>
      </c>
      <c r="J182" s="71">
        <f>J185+J184+J183</f>
        <v>28001.7</v>
      </c>
      <c r="K182" s="71">
        <f t="shared" ref="K182:R182" si="43">K185+K184+K183</f>
        <v>18169.5</v>
      </c>
      <c r="L182" s="71">
        <f t="shared" si="43"/>
        <v>137841</v>
      </c>
      <c r="M182" s="71">
        <f t="shared" si="43"/>
        <v>356184.4</v>
      </c>
      <c r="N182" s="71">
        <f t="shared" si="43"/>
        <v>89334.5</v>
      </c>
      <c r="O182" s="71">
        <f t="shared" si="43"/>
        <v>349515.9</v>
      </c>
      <c r="P182" s="71">
        <f t="shared" si="43"/>
        <v>48976.800000000003</v>
      </c>
      <c r="Q182" s="71">
        <f t="shared" si="43"/>
        <v>859452.1</v>
      </c>
      <c r="R182" s="71">
        <f t="shared" si="43"/>
        <v>639187</v>
      </c>
      <c r="S182" s="71">
        <f>S185+S184+S183</f>
        <v>2526662.9</v>
      </c>
      <c r="T182" s="67">
        <v>2024</v>
      </c>
      <c r="U182" s="107"/>
      <c r="V182" s="90"/>
      <c r="W182" s="107"/>
      <c r="X182" s="107"/>
      <c r="Y182" s="107"/>
      <c r="Z182" s="107"/>
      <c r="AA182" s="107"/>
    </row>
    <row r="183" spans="1:27" ht="15" x14ac:dyDescent="0.2">
      <c r="A183" s="61" t="s">
        <v>328</v>
      </c>
      <c r="B183" s="61">
        <v>1</v>
      </c>
      <c r="C183" s="61">
        <v>2</v>
      </c>
      <c r="D183" s="61">
        <v>2</v>
      </c>
      <c r="E183" s="61">
        <v>0</v>
      </c>
      <c r="F183" s="61">
        <v>0</v>
      </c>
      <c r="G183" s="61">
        <v>1</v>
      </c>
      <c r="H183" s="62" t="s">
        <v>218</v>
      </c>
      <c r="I183" s="63" t="s">
        <v>259</v>
      </c>
      <c r="J183" s="71">
        <f t="shared" ref="J183:R183" si="44">J224+J236+J242+J247+J211+J218</f>
        <v>0</v>
      </c>
      <c r="K183" s="71">
        <f t="shared" si="44"/>
        <v>0</v>
      </c>
      <c r="L183" s="71">
        <f t="shared" si="44"/>
        <v>82505.2</v>
      </c>
      <c r="M183" s="71">
        <f t="shared" si="44"/>
        <v>0</v>
      </c>
      <c r="N183" s="71">
        <f t="shared" si="44"/>
        <v>64839.6</v>
      </c>
      <c r="O183" s="71">
        <f t="shared" si="44"/>
        <v>299810</v>
      </c>
      <c r="P183" s="71">
        <f t="shared" si="44"/>
        <v>0</v>
      </c>
      <c r="Q183" s="71">
        <f t="shared" si="44"/>
        <v>756868.2</v>
      </c>
      <c r="R183" s="71">
        <f t="shared" si="44"/>
        <v>427726.8</v>
      </c>
      <c r="S183" s="71">
        <f>SUM(J183:R183)</f>
        <v>1631749.8</v>
      </c>
      <c r="T183" s="67">
        <v>2024</v>
      </c>
      <c r="V183" s="90"/>
      <c r="W183" s="134"/>
    </row>
    <row r="184" spans="1:27" ht="15" x14ac:dyDescent="0.2">
      <c r="A184" s="61" t="s">
        <v>328</v>
      </c>
      <c r="B184" s="61">
        <v>1</v>
      </c>
      <c r="C184" s="61">
        <v>2</v>
      </c>
      <c r="D184" s="61">
        <v>2</v>
      </c>
      <c r="E184" s="61">
        <v>0</v>
      </c>
      <c r="F184" s="61">
        <v>0</v>
      </c>
      <c r="G184" s="61">
        <v>2</v>
      </c>
      <c r="H184" s="62" t="s">
        <v>228</v>
      </c>
      <c r="I184" s="63" t="s">
        <v>259</v>
      </c>
      <c r="J184" s="66">
        <f t="shared" ref="J184:R184" si="45">J193+J219+J225+J237+J243+J248+J212</f>
        <v>11942.7</v>
      </c>
      <c r="K184" s="66">
        <f t="shared" si="45"/>
        <v>0</v>
      </c>
      <c r="L184" s="66">
        <f t="shared" si="45"/>
        <v>9204.6</v>
      </c>
      <c r="M184" s="66">
        <f t="shared" si="45"/>
        <v>308522.5</v>
      </c>
      <c r="N184" s="66">
        <f t="shared" si="45"/>
        <v>9382.2000000000007</v>
      </c>
      <c r="O184" s="66">
        <f t="shared" si="45"/>
        <v>42405.9</v>
      </c>
      <c r="P184" s="66">
        <f t="shared" si="45"/>
        <v>39976.800000000003</v>
      </c>
      <c r="Q184" s="66">
        <f t="shared" si="45"/>
        <v>84096.5</v>
      </c>
      <c r="R184" s="66">
        <f t="shared" si="45"/>
        <v>47525.2</v>
      </c>
      <c r="S184" s="71">
        <f>SUM(J184:R184)</f>
        <v>553056.4</v>
      </c>
      <c r="T184" s="67">
        <v>2024</v>
      </c>
      <c r="V184" s="90"/>
      <c r="AA184" s="134"/>
    </row>
    <row r="185" spans="1:27" ht="15" x14ac:dyDescent="0.2">
      <c r="A185" s="61" t="s">
        <v>328</v>
      </c>
      <c r="B185" s="61">
        <v>1</v>
      </c>
      <c r="C185" s="61">
        <v>2</v>
      </c>
      <c r="D185" s="61">
        <v>2</v>
      </c>
      <c r="E185" s="61">
        <v>0</v>
      </c>
      <c r="F185" s="61">
        <v>0</v>
      </c>
      <c r="G185" s="61">
        <v>3</v>
      </c>
      <c r="H185" s="62" t="s">
        <v>229</v>
      </c>
      <c r="I185" s="63" t="s">
        <v>259</v>
      </c>
      <c r="J185" s="66">
        <f t="shared" ref="J185:R185" si="46">J194+J197+J199+J202+J205+J188+J220+J226+J232+J244+J238+J249+J213+J252+J255</f>
        <v>16059</v>
      </c>
      <c r="K185" s="66">
        <f t="shared" si="46"/>
        <v>18169.5</v>
      </c>
      <c r="L185" s="66">
        <f t="shared" si="46"/>
        <v>46131.199999999997</v>
      </c>
      <c r="M185" s="66">
        <f t="shared" si="46"/>
        <v>47661.899999999994</v>
      </c>
      <c r="N185" s="66">
        <f t="shared" si="46"/>
        <v>15112.7</v>
      </c>
      <c r="O185" s="66">
        <f t="shared" si="46"/>
        <v>7300</v>
      </c>
      <c r="P185" s="66">
        <f t="shared" si="46"/>
        <v>9000</v>
      </c>
      <c r="Q185" s="66">
        <f t="shared" si="46"/>
        <v>18487.400000000001</v>
      </c>
      <c r="R185" s="66">
        <f t="shared" si="46"/>
        <v>163935</v>
      </c>
      <c r="S185" s="71">
        <f>SUM(J185:R185)</f>
        <v>341856.69999999995</v>
      </c>
      <c r="T185" s="67">
        <v>2024</v>
      </c>
      <c r="V185" s="90"/>
    </row>
    <row r="186" spans="1:27" ht="15" x14ac:dyDescent="0.2">
      <c r="A186" s="61" t="s">
        <v>328</v>
      </c>
      <c r="B186" s="61">
        <v>1</v>
      </c>
      <c r="C186" s="61">
        <v>2</v>
      </c>
      <c r="D186" s="61">
        <v>2</v>
      </c>
      <c r="E186" s="61">
        <v>0</v>
      </c>
      <c r="F186" s="61">
        <v>0</v>
      </c>
      <c r="G186" s="61"/>
      <c r="H186" s="62" t="s">
        <v>278</v>
      </c>
      <c r="I186" s="63" t="str">
        <f>расчет_показ!B83</f>
        <v>%</v>
      </c>
      <c r="J186" s="92">
        <v>111.23724711841882</v>
      </c>
      <c r="K186" s="92">
        <v>112.00588884799411</v>
      </c>
      <c r="L186" s="92">
        <v>112.95221632300283</v>
      </c>
      <c r="M186" s="92">
        <v>114.29285232468085</v>
      </c>
      <c r="N186" s="92">
        <v>116.53807959666946</v>
      </c>
      <c r="O186" s="92">
        <v>118.81928398971935</v>
      </c>
      <c r="P186" s="92">
        <v>118.81928398971935</v>
      </c>
      <c r="Q186" s="92">
        <v>118.81928398971935</v>
      </c>
      <c r="R186" s="92">
        <v>118.81928398971935</v>
      </c>
      <c r="S186" s="92">
        <f>R186</f>
        <v>118.81928398971935</v>
      </c>
      <c r="T186" s="67">
        <v>2024</v>
      </c>
      <c r="V186" s="90"/>
    </row>
    <row r="187" spans="1:27" ht="60" x14ac:dyDescent="0.2">
      <c r="A187" s="61" t="s">
        <v>328</v>
      </c>
      <c r="B187" s="61">
        <v>1</v>
      </c>
      <c r="C187" s="61">
        <v>2</v>
      </c>
      <c r="D187" s="61">
        <v>2</v>
      </c>
      <c r="E187" s="61">
        <v>0</v>
      </c>
      <c r="F187" s="61">
        <v>0</v>
      </c>
      <c r="G187" s="61"/>
      <c r="H187" s="62" t="s">
        <v>140</v>
      </c>
      <c r="I187" s="63" t="s">
        <v>261</v>
      </c>
      <c r="J187" s="93">
        <v>36.553614265655391</v>
      </c>
      <c r="K187" s="93">
        <v>36.765384337463246</v>
      </c>
      <c r="L187" s="93">
        <v>36.880310516451758</v>
      </c>
      <c r="M187" s="93">
        <v>37.014124388633334</v>
      </c>
      <c r="N187" s="93">
        <v>37.139354205848605</v>
      </c>
      <c r="O187" s="93">
        <v>37.270347862590476</v>
      </c>
      <c r="P187" s="93">
        <v>37.421456369521579</v>
      </c>
      <c r="Q187" s="93">
        <v>37.585244566047365</v>
      </c>
      <c r="R187" s="93">
        <v>37.755725277987082</v>
      </c>
      <c r="S187" s="91">
        <f>R187</f>
        <v>37.755725277987082</v>
      </c>
      <c r="T187" s="67">
        <v>2024</v>
      </c>
      <c r="V187" s="90"/>
    </row>
    <row r="188" spans="1:27" ht="45" x14ac:dyDescent="0.2">
      <c r="A188" s="61" t="s">
        <v>328</v>
      </c>
      <c r="B188" s="61">
        <v>1</v>
      </c>
      <c r="C188" s="61">
        <v>2</v>
      </c>
      <c r="D188" s="61">
        <v>2</v>
      </c>
      <c r="E188" s="61">
        <v>0</v>
      </c>
      <c r="F188" s="61">
        <v>1</v>
      </c>
      <c r="G188" s="61">
        <v>3</v>
      </c>
      <c r="H188" s="62" t="s">
        <v>386</v>
      </c>
      <c r="I188" s="63" t="s">
        <v>259</v>
      </c>
      <c r="J188" s="66">
        <v>0</v>
      </c>
      <c r="K188" s="66">
        <v>17503.900000000001</v>
      </c>
      <c r="L188" s="66">
        <v>7880.8</v>
      </c>
      <c r="M188" s="66">
        <v>0</v>
      </c>
      <c r="N188" s="66">
        <v>0</v>
      </c>
      <c r="O188" s="66">
        <v>0</v>
      </c>
      <c r="P188" s="66">
        <v>0</v>
      </c>
      <c r="Q188" s="66">
        <v>0</v>
      </c>
      <c r="R188" s="66">
        <v>0</v>
      </c>
      <c r="S188" s="66">
        <f>SUM(J188:O188)</f>
        <v>25384.7</v>
      </c>
      <c r="T188" s="67">
        <v>2018</v>
      </c>
      <c r="V188" s="90"/>
    </row>
    <row r="189" spans="1:27" ht="15" x14ac:dyDescent="0.2">
      <c r="A189" s="61" t="s">
        <v>328</v>
      </c>
      <c r="B189" s="61">
        <v>1</v>
      </c>
      <c r="C189" s="61">
        <v>2</v>
      </c>
      <c r="D189" s="61">
        <v>2</v>
      </c>
      <c r="E189" s="61">
        <v>0</v>
      </c>
      <c r="F189" s="61">
        <v>1</v>
      </c>
      <c r="G189" s="61"/>
      <c r="H189" s="62" t="s">
        <v>102</v>
      </c>
      <c r="I189" s="63" t="s">
        <v>260</v>
      </c>
      <c r="J189" s="95"/>
      <c r="K189" s="95">
        <v>1</v>
      </c>
      <c r="L189" s="95"/>
      <c r="M189" s="95"/>
      <c r="N189" s="95"/>
      <c r="O189" s="95"/>
      <c r="P189" s="95"/>
      <c r="Q189" s="95"/>
      <c r="R189" s="95"/>
      <c r="S189" s="95">
        <f>SUM(J189:O189)</f>
        <v>1</v>
      </c>
      <c r="T189" s="67">
        <v>2017</v>
      </c>
      <c r="V189" s="90"/>
    </row>
    <row r="190" spans="1:27" ht="15" x14ac:dyDescent="0.2">
      <c r="A190" s="61" t="s">
        <v>328</v>
      </c>
      <c r="B190" s="61">
        <v>1</v>
      </c>
      <c r="C190" s="61">
        <v>2</v>
      </c>
      <c r="D190" s="61">
        <v>2</v>
      </c>
      <c r="E190" s="61">
        <v>0</v>
      </c>
      <c r="F190" s="61">
        <v>1</v>
      </c>
      <c r="G190" s="61"/>
      <c r="H190" s="62" t="s">
        <v>71</v>
      </c>
      <c r="I190" s="63" t="s">
        <v>258</v>
      </c>
      <c r="J190" s="66"/>
      <c r="K190" s="66">
        <f>60*31</f>
        <v>1860</v>
      </c>
      <c r="L190" s="66"/>
      <c r="M190" s="66"/>
      <c r="N190" s="66"/>
      <c r="O190" s="66"/>
      <c r="P190" s="66"/>
      <c r="Q190" s="66"/>
      <c r="R190" s="66"/>
      <c r="S190" s="66">
        <f>SUM(J190:O190)</f>
        <v>1860</v>
      </c>
      <c r="T190" s="67">
        <v>2017</v>
      </c>
      <c r="V190" s="90"/>
    </row>
    <row r="191" spans="1:27" ht="22.5" customHeight="1" x14ac:dyDescent="0.2">
      <c r="A191" s="61" t="s">
        <v>328</v>
      </c>
      <c r="B191" s="61">
        <v>1</v>
      </c>
      <c r="C191" s="61">
        <v>2</v>
      </c>
      <c r="D191" s="61">
        <v>2</v>
      </c>
      <c r="E191" s="61">
        <v>0</v>
      </c>
      <c r="F191" s="61">
        <v>1</v>
      </c>
      <c r="G191" s="61"/>
      <c r="H191" s="62" t="s">
        <v>73</v>
      </c>
      <c r="I191" s="63" t="s">
        <v>387</v>
      </c>
      <c r="J191" s="66"/>
      <c r="K191" s="66"/>
      <c r="L191" s="66">
        <v>18271</v>
      </c>
      <c r="M191" s="66"/>
      <c r="N191" s="66"/>
      <c r="O191" s="66"/>
      <c r="P191" s="66"/>
      <c r="Q191" s="66"/>
      <c r="R191" s="66"/>
      <c r="S191" s="66">
        <f>SUM(J191:O191)</f>
        <v>18271</v>
      </c>
      <c r="T191" s="67">
        <v>2018</v>
      </c>
      <c r="V191" s="90"/>
    </row>
    <row r="192" spans="1:27" ht="30" x14ac:dyDescent="0.2">
      <c r="A192" s="61" t="s">
        <v>328</v>
      </c>
      <c r="B192" s="61">
        <v>1</v>
      </c>
      <c r="C192" s="61">
        <v>2</v>
      </c>
      <c r="D192" s="61">
        <v>2</v>
      </c>
      <c r="E192" s="61">
        <v>0</v>
      </c>
      <c r="F192" s="61">
        <v>2</v>
      </c>
      <c r="G192" s="61"/>
      <c r="H192" s="62" t="s">
        <v>368</v>
      </c>
      <c r="I192" s="63" t="s">
        <v>259</v>
      </c>
      <c r="J192" s="66">
        <f>J193+J194</f>
        <v>13378.300000000001</v>
      </c>
      <c r="K192" s="66">
        <v>0</v>
      </c>
      <c r="L192" s="66">
        <v>0</v>
      </c>
      <c r="M192" s="66">
        <v>0</v>
      </c>
      <c r="N192" s="66">
        <v>0</v>
      </c>
      <c r="O192" s="66">
        <v>0</v>
      </c>
      <c r="P192" s="66">
        <v>0</v>
      </c>
      <c r="Q192" s="66">
        <v>0</v>
      </c>
      <c r="R192" s="66">
        <v>0</v>
      </c>
      <c r="S192" s="66">
        <f t="shared" ref="S192:S202" si="47">SUM(J192:O192)</f>
        <v>13378.300000000001</v>
      </c>
      <c r="T192" s="67">
        <v>2016</v>
      </c>
      <c r="V192" s="90"/>
    </row>
    <row r="193" spans="1:22" ht="15" x14ac:dyDescent="0.2">
      <c r="A193" s="61" t="s">
        <v>328</v>
      </c>
      <c r="B193" s="61">
        <v>1</v>
      </c>
      <c r="C193" s="61">
        <v>2</v>
      </c>
      <c r="D193" s="61">
        <v>2</v>
      </c>
      <c r="E193" s="61">
        <v>0</v>
      </c>
      <c r="F193" s="61">
        <v>2</v>
      </c>
      <c r="G193" s="61">
        <v>2</v>
      </c>
      <c r="H193" s="62" t="s">
        <v>228</v>
      </c>
      <c r="I193" s="63" t="s">
        <v>259</v>
      </c>
      <c r="J193" s="66">
        <f>16122.9-4180.2</f>
        <v>11942.7</v>
      </c>
      <c r="K193" s="66">
        <v>0</v>
      </c>
      <c r="L193" s="66">
        <v>0</v>
      </c>
      <c r="M193" s="66">
        <v>0</v>
      </c>
      <c r="N193" s="66">
        <v>0</v>
      </c>
      <c r="O193" s="66">
        <v>0</v>
      </c>
      <c r="P193" s="66">
        <v>0</v>
      </c>
      <c r="Q193" s="66">
        <v>0</v>
      </c>
      <c r="R193" s="66">
        <v>0</v>
      </c>
      <c r="S193" s="66">
        <f t="shared" si="47"/>
        <v>11942.7</v>
      </c>
      <c r="T193" s="67">
        <v>2016</v>
      </c>
      <c r="V193" s="90"/>
    </row>
    <row r="194" spans="1:22" ht="15" x14ac:dyDescent="0.2">
      <c r="A194" s="61" t="s">
        <v>328</v>
      </c>
      <c r="B194" s="61">
        <v>1</v>
      </c>
      <c r="C194" s="61">
        <v>2</v>
      </c>
      <c r="D194" s="61">
        <v>2</v>
      </c>
      <c r="E194" s="61">
        <v>0</v>
      </c>
      <c r="F194" s="61">
        <v>2</v>
      </c>
      <c r="G194" s="61">
        <v>3</v>
      </c>
      <c r="H194" s="62" t="s">
        <v>229</v>
      </c>
      <c r="I194" s="63" t="s">
        <v>259</v>
      </c>
      <c r="J194" s="66">
        <f>1494.3-58.7</f>
        <v>1435.6</v>
      </c>
      <c r="K194" s="66">
        <v>0</v>
      </c>
      <c r="L194" s="66">
        <v>0</v>
      </c>
      <c r="M194" s="66">
        <v>0</v>
      </c>
      <c r="N194" s="66">
        <v>0</v>
      </c>
      <c r="O194" s="66">
        <v>0</v>
      </c>
      <c r="P194" s="66">
        <v>0</v>
      </c>
      <c r="Q194" s="66">
        <v>0</v>
      </c>
      <c r="R194" s="66">
        <v>0</v>
      </c>
      <c r="S194" s="66">
        <f t="shared" si="47"/>
        <v>1435.6</v>
      </c>
      <c r="T194" s="67">
        <v>2016</v>
      </c>
      <c r="V194" s="90"/>
    </row>
    <row r="195" spans="1:22" ht="15" x14ac:dyDescent="0.2">
      <c r="A195" s="61" t="s">
        <v>328</v>
      </c>
      <c r="B195" s="61">
        <v>1</v>
      </c>
      <c r="C195" s="61">
        <v>2</v>
      </c>
      <c r="D195" s="61">
        <v>2</v>
      </c>
      <c r="E195" s="61">
        <v>0</v>
      </c>
      <c r="F195" s="61">
        <v>2</v>
      </c>
      <c r="G195" s="61"/>
      <c r="H195" s="62" t="s">
        <v>99</v>
      </c>
      <c r="I195" s="63" t="s">
        <v>260</v>
      </c>
      <c r="J195" s="95">
        <v>1</v>
      </c>
      <c r="K195" s="95"/>
      <c r="L195" s="95"/>
      <c r="M195" s="95"/>
      <c r="N195" s="95"/>
      <c r="O195" s="95"/>
      <c r="P195" s="95"/>
      <c r="Q195" s="95"/>
      <c r="R195" s="95"/>
      <c r="S195" s="95">
        <f t="shared" si="47"/>
        <v>1</v>
      </c>
      <c r="T195" s="67">
        <v>2016</v>
      </c>
      <c r="V195" s="90"/>
    </row>
    <row r="196" spans="1:22" ht="30" x14ac:dyDescent="0.2">
      <c r="A196" s="61" t="s">
        <v>328</v>
      </c>
      <c r="B196" s="61">
        <v>1</v>
      </c>
      <c r="C196" s="61">
        <v>2</v>
      </c>
      <c r="D196" s="61">
        <v>2</v>
      </c>
      <c r="E196" s="61">
        <v>0</v>
      </c>
      <c r="F196" s="61">
        <v>2</v>
      </c>
      <c r="G196" s="61"/>
      <c r="H196" s="62" t="s">
        <v>376</v>
      </c>
      <c r="I196" s="63" t="s">
        <v>260</v>
      </c>
      <c r="J196" s="95">
        <v>1</v>
      </c>
      <c r="K196" s="95"/>
      <c r="L196" s="95"/>
      <c r="M196" s="95"/>
      <c r="N196" s="95"/>
      <c r="O196" s="95"/>
      <c r="P196" s="95"/>
      <c r="Q196" s="95"/>
      <c r="R196" s="95"/>
      <c r="S196" s="95">
        <f t="shared" si="47"/>
        <v>1</v>
      </c>
      <c r="T196" s="67">
        <v>2016</v>
      </c>
      <c r="V196" s="90"/>
    </row>
    <row r="197" spans="1:22" ht="30" x14ac:dyDescent="0.2">
      <c r="A197" s="61" t="s">
        <v>328</v>
      </c>
      <c r="B197" s="61">
        <v>1</v>
      </c>
      <c r="C197" s="61">
        <v>2</v>
      </c>
      <c r="D197" s="61">
        <v>2</v>
      </c>
      <c r="E197" s="61">
        <v>0</v>
      </c>
      <c r="F197" s="61">
        <v>3</v>
      </c>
      <c r="G197" s="61">
        <v>3</v>
      </c>
      <c r="H197" s="62" t="s">
        <v>369</v>
      </c>
      <c r="I197" s="63" t="s">
        <v>259</v>
      </c>
      <c r="J197" s="66">
        <v>11703.9</v>
      </c>
      <c r="K197" s="66">
        <v>0</v>
      </c>
      <c r="L197" s="66">
        <v>0</v>
      </c>
      <c r="M197" s="66">
        <v>0</v>
      </c>
      <c r="N197" s="66">
        <v>0</v>
      </c>
      <c r="O197" s="66">
        <v>0</v>
      </c>
      <c r="P197" s="66">
        <v>0</v>
      </c>
      <c r="Q197" s="66">
        <v>0</v>
      </c>
      <c r="R197" s="66">
        <v>0</v>
      </c>
      <c r="S197" s="66">
        <f>O197+N197+M197+L197+K197+J197</f>
        <v>11703.9</v>
      </c>
      <c r="T197" s="67">
        <v>2016</v>
      </c>
      <c r="V197" s="90"/>
    </row>
    <row r="198" spans="1:22" ht="45" x14ac:dyDescent="0.2">
      <c r="A198" s="61" t="s">
        <v>328</v>
      </c>
      <c r="B198" s="61">
        <v>1</v>
      </c>
      <c r="C198" s="61">
        <v>2</v>
      </c>
      <c r="D198" s="61">
        <v>2</v>
      </c>
      <c r="E198" s="61">
        <v>0</v>
      </c>
      <c r="F198" s="61">
        <v>3</v>
      </c>
      <c r="G198" s="61"/>
      <c r="H198" s="62" t="s">
        <v>141</v>
      </c>
      <c r="I198" s="63" t="s">
        <v>260</v>
      </c>
      <c r="J198" s="95">
        <v>2</v>
      </c>
      <c r="K198" s="95"/>
      <c r="L198" s="95"/>
      <c r="M198" s="95"/>
      <c r="N198" s="95"/>
      <c r="O198" s="95"/>
      <c r="P198" s="95"/>
      <c r="Q198" s="95"/>
      <c r="R198" s="95"/>
      <c r="S198" s="95">
        <f>O198+N198+M198+L198+K198+J198</f>
        <v>2</v>
      </c>
      <c r="T198" s="67">
        <v>2016</v>
      </c>
      <c r="V198" s="90"/>
    </row>
    <row r="199" spans="1:22" ht="30" x14ac:dyDescent="0.2">
      <c r="A199" s="61" t="s">
        <v>328</v>
      </c>
      <c r="B199" s="61">
        <v>1</v>
      </c>
      <c r="C199" s="61">
        <v>2</v>
      </c>
      <c r="D199" s="61">
        <v>2</v>
      </c>
      <c r="E199" s="61">
        <v>0</v>
      </c>
      <c r="F199" s="61">
        <v>4</v>
      </c>
      <c r="G199" s="61">
        <v>3</v>
      </c>
      <c r="H199" s="62" t="s">
        <v>371</v>
      </c>
      <c r="I199" s="63" t="s">
        <v>259</v>
      </c>
      <c r="J199" s="66">
        <v>1427</v>
      </c>
      <c r="K199" s="66">
        <v>0</v>
      </c>
      <c r="L199" s="66">
        <f>34+6474.2</f>
        <v>6508.2</v>
      </c>
      <c r="M199" s="66">
        <f>1159.6+0.2</f>
        <v>1159.8</v>
      </c>
      <c r="N199" s="66">
        <v>0</v>
      </c>
      <c r="O199" s="66">
        <v>0</v>
      </c>
      <c r="P199" s="66">
        <v>0</v>
      </c>
      <c r="Q199" s="66">
        <v>0</v>
      </c>
      <c r="R199" s="66">
        <v>0</v>
      </c>
      <c r="S199" s="66">
        <f>O199+N199+M199+L199+K199+J199</f>
        <v>9095</v>
      </c>
      <c r="T199" s="67">
        <v>2019</v>
      </c>
      <c r="V199" s="90"/>
    </row>
    <row r="200" spans="1:22" ht="15" x14ac:dyDescent="0.2">
      <c r="A200" s="61" t="s">
        <v>328</v>
      </c>
      <c r="B200" s="61">
        <v>1</v>
      </c>
      <c r="C200" s="61">
        <v>2</v>
      </c>
      <c r="D200" s="61">
        <v>2</v>
      </c>
      <c r="E200" s="61">
        <v>0</v>
      </c>
      <c r="F200" s="61">
        <v>4</v>
      </c>
      <c r="G200" s="61"/>
      <c r="H200" s="62" t="s">
        <v>400</v>
      </c>
      <c r="I200" s="63" t="s">
        <v>260</v>
      </c>
      <c r="J200" s="95">
        <v>1</v>
      </c>
      <c r="K200" s="95"/>
      <c r="L200" s="95"/>
      <c r="M200" s="95">
        <v>3</v>
      </c>
      <c r="N200" s="95"/>
      <c r="O200" s="95"/>
      <c r="P200" s="95"/>
      <c r="Q200" s="95"/>
      <c r="R200" s="95"/>
      <c r="S200" s="95">
        <f>SUM(J200:O200)</f>
        <v>4</v>
      </c>
      <c r="T200" s="67">
        <v>2019</v>
      </c>
      <c r="V200" s="90"/>
    </row>
    <row r="201" spans="1:22" ht="15" x14ac:dyDescent="0.2">
      <c r="A201" s="61" t="s">
        <v>328</v>
      </c>
      <c r="B201" s="61">
        <v>1</v>
      </c>
      <c r="C201" s="61">
        <v>2</v>
      </c>
      <c r="D201" s="61">
        <v>2</v>
      </c>
      <c r="E201" s="61">
        <v>0</v>
      </c>
      <c r="F201" s="61">
        <v>4</v>
      </c>
      <c r="G201" s="61"/>
      <c r="H201" s="62" t="s">
        <v>221</v>
      </c>
      <c r="I201" s="63" t="s">
        <v>260</v>
      </c>
      <c r="J201" s="95"/>
      <c r="K201" s="95"/>
      <c r="L201" s="95">
        <v>4</v>
      </c>
      <c r="M201" s="95"/>
      <c r="N201" s="95"/>
      <c r="O201" s="95"/>
      <c r="P201" s="95"/>
      <c r="Q201" s="95"/>
      <c r="R201" s="95"/>
      <c r="S201" s="95">
        <f>SUM(J201:O201)</f>
        <v>4</v>
      </c>
      <c r="T201" s="67">
        <v>2018</v>
      </c>
      <c r="V201" s="90"/>
    </row>
    <row r="202" spans="1:22" ht="30" x14ac:dyDescent="0.2">
      <c r="A202" s="61" t="s">
        <v>328</v>
      </c>
      <c r="B202" s="61">
        <v>1</v>
      </c>
      <c r="C202" s="61">
        <v>2</v>
      </c>
      <c r="D202" s="61">
        <v>2</v>
      </c>
      <c r="E202" s="61">
        <v>0</v>
      </c>
      <c r="F202" s="61">
        <v>5</v>
      </c>
      <c r="G202" s="61">
        <v>3</v>
      </c>
      <c r="H202" s="62" t="s">
        <v>10</v>
      </c>
      <c r="I202" s="63" t="s">
        <v>259</v>
      </c>
      <c r="J202" s="82">
        <v>0</v>
      </c>
      <c r="K202" s="82">
        <v>0</v>
      </c>
      <c r="L202" s="82">
        <v>1790</v>
      </c>
      <c r="M202" s="82">
        <v>1790</v>
      </c>
      <c r="N202" s="82">
        <v>0</v>
      </c>
      <c r="O202" s="82">
        <v>0</v>
      </c>
      <c r="P202" s="82">
        <v>0</v>
      </c>
      <c r="Q202" s="82">
        <v>0</v>
      </c>
      <c r="R202" s="82">
        <v>105900</v>
      </c>
      <c r="S202" s="66">
        <f t="shared" si="47"/>
        <v>3580</v>
      </c>
      <c r="T202" s="67">
        <v>2024</v>
      </c>
      <c r="V202" s="90"/>
    </row>
    <row r="203" spans="1:22" ht="15" x14ac:dyDescent="0.2">
      <c r="A203" s="61" t="s">
        <v>328</v>
      </c>
      <c r="B203" s="61">
        <v>1</v>
      </c>
      <c r="C203" s="61">
        <v>2</v>
      </c>
      <c r="D203" s="61">
        <v>2</v>
      </c>
      <c r="E203" s="61">
        <v>0</v>
      </c>
      <c r="F203" s="61">
        <v>5</v>
      </c>
      <c r="G203" s="61"/>
      <c r="H203" s="62" t="s">
        <v>31</v>
      </c>
      <c r="I203" s="63" t="s">
        <v>260</v>
      </c>
      <c r="J203" s="95"/>
      <c r="K203" s="95"/>
      <c r="L203" s="95">
        <v>1</v>
      </c>
      <c r="M203" s="95">
        <v>1</v>
      </c>
      <c r="N203" s="95"/>
      <c r="O203" s="95"/>
      <c r="P203" s="95"/>
      <c r="Q203" s="95"/>
      <c r="R203" s="95">
        <v>1</v>
      </c>
      <c r="S203" s="95">
        <v>2</v>
      </c>
      <c r="T203" s="67">
        <v>2024</v>
      </c>
      <c r="V203" s="90"/>
    </row>
    <row r="204" spans="1:22" ht="15" x14ac:dyDescent="0.2">
      <c r="A204" s="61" t="s">
        <v>328</v>
      </c>
      <c r="B204" s="61">
        <v>1</v>
      </c>
      <c r="C204" s="61">
        <v>2</v>
      </c>
      <c r="D204" s="61">
        <v>2</v>
      </c>
      <c r="E204" s="61">
        <v>0</v>
      </c>
      <c r="F204" s="61">
        <v>5</v>
      </c>
      <c r="G204" s="61"/>
      <c r="H204" s="62" t="s">
        <v>477</v>
      </c>
      <c r="I204" s="63" t="s">
        <v>260</v>
      </c>
      <c r="J204" s="95"/>
      <c r="K204" s="95"/>
      <c r="L204" s="95"/>
      <c r="M204" s="95"/>
      <c r="N204" s="95"/>
      <c r="O204" s="95"/>
      <c r="P204" s="95"/>
      <c r="Q204" s="95"/>
      <c r="R204" s="95">
        <v>1</v>
      </c>
      <c r="S204" s="95">
        <v>1</v>
      </c>
      <c r="T204" s="67">
        <v>2024</v>
      </c>
      <c r="V204" s="90"/>
    </row>
    <row r="205" spans="1:22" ht="30" x14ac:dyDescent="0.2">
      <c r="A205" s="61" t="s">
        <v>328</v>
      </c>
      <c r="B205" s="61">
        <v>1</v>
      </c>
      <c r="C205" s="61">
        <v>2</v>
      </c>
      <c r="D205" s="61">
        <v>2</v>
      </c>
      <c r="E205" s="61">
        <v>0</v>
      </c>
      <c r="F205" s="61">
        <v>6</v>
      </c>
      <c r="G205" s="61">
        <v>3</v>
      </c>
      <c r="H205" s="62" t="s">
        <v>372</v>
      </c>
      <c r="I205" s="63" t="s">
        <v>259</v>
      </c>
      <c r="J205" s="71">
        <v>992.5</v>
      </c>
      <c r="K205" s="71">
        <v>0</v>
      </c>
      <c r="L205" s="82">
        <v>3083.3</v>
      </c>
      <c r="M205" s="82">
        <v>3083.3</v>
      </c>
      <c r="N205" s="82">
        <v>0</v>
      </c>
      <c r="O205" s="82">
        <v>1000</v>
      </c>
      <c r="P205" s="82">
        <v>4000</v>
      </c>
      <c r="Q205" s="82"/>
      <c r="R205" s="82">
        <v>0</v>
      </c>
      <c r="S205" s="66">
        <f>SUM(J205:R205)</f>
        <v>12159.1</v>
      </c>
      <c r="T205" s="67">
        <v>2022</v>
      </c>
      <c r="V205" s="90"/>
    </row>
    <row r="206" spans="1:22" ht="15" x14ac:dyDescent="0.2">
      <c r="A206" s="61" t="s">
        <v>328</v>
      </c>
      <c r="B206" s="61">
        <v>1</v>
      </c>
      <c r="C206" s="61">
        <v>2</v>
      </c>
      <c r="D206" s="61">
        <v>2</v>
      </c>
      <c r="E206" s="61">
        <v>0</v>
      </c>
      <c r="F206" s="61">
        <v>6</v>
      </c>
      <c r="G206" s="61"/>
      <c r="H206" s="62" t="s">
        <v>31</v>
      </c>
      <c r="I206" s="63" t="s">
        <v>260</v>
      </c>
      <c r="J206" s="95">
        <v>1</v>
      </c>
      <c r="K206" s="95"/>
      <c r="L206" s="95"/>
      <c r="M206" s="95"/>
      <c r="N206" s="95"/>
      <c r="O206" s="95"/>
      <c r="P206" s="95"/>
      <c r="Q206" s="95"/>
      <c r="R206" s="95"/>
      <c r="S206" s="95">
        <f>SUM(J206:R206)</f>
        <v>1</v>
      </c>
      <c r="T206" s="67">
        <v>2016</v>
      </c>
      <c r="V206" s="90"/>
    </row>
    <row r="207" spans="1:22" ht="15" x14ac:dyDescent="0.2">
      <c r="A207" s="61" t="s">
        <v>328</v>
      </c>
      <c r="B207" s="61">
        <v>1</v>
      </c>
      <c r="C207" s="61">
        <v>2</v>
      </c>
      <c r="D207" s="61">
        <v>2</v>
      </c>
      <c r="E207" s="61">
        <v>0</v>
      </c>
      <c r="F207" s="61">
        <v>6</v>
      </c>
      <c r="G207" s="61"/>
      <c r="H207" s="62" t="s">
        <v>224</v>
      </c>
      <c r="I207" s="63" t="s">
        <v>260</v>
      </c>
      <c r="J207" s="95"/>
      <c r="K207" s="95"/>
      <c r="L207" s="95">
        <v>1</v>
      </c>
      <c r="M207" s="95">
        <v>1</v>
      </c>
      <c r="N207" s="95"/>
      <c r="O207" s="95"/>
      <c r="P207" s="95"/>
      <c r="Q207" s="95"/>
      <c r="R207" s="95"/>
      <c r="S207" s="95">
        <v>2</v>
      </c>
      <c r="T207" s="67">
        <v>2019</v>
      </c>
      <c r="V207" s="90"/>
    </row>
    <row r="208" spans="1:22" ht="30" x14ac:dyDescent="0.2">
      <c r="A208" s="61" t="s">
        <v>328</v>
      </c>
      <c r="B208" s="61">
        <v>1</v>
      </c>
      <c r="C208" s="61">
        <v>2</v>
      </c>
      <c r="D208" s="61">
        <v>2</v>
      </c>
      <c r="E208" s="61">
        <v>0</v>
      </c>
      <c r="F208" s="61">
        <v>6</v>
      </c>
      <c r="G208" s="61"/>
      <c r="H208" s="62" t="s">
        <v>423</v>
      </c>
      <c r="I208" s="63" t="s">
        <v>220</v>
      </c>
      <c r="J208" s="66"/>
      <c r="K208" s="66">
        <v>0</v>
      </c>
      <c r="L208" s="66">
        <v>0</v>
      </c>
      <c r="M208" s="131"/>
      <c r="N208" s="131"/>
      <c r="O208" s="131">
        <v>0.753</v>
      </c>
      <c r="P208" s="66"/>
      <c r="Q208" s="66"/>
      <c r="R208" s="66"/>
      <c r="S208" s="131">
        <f t="shared" ref="S208:S238" si="48">SUM(J208:R208)</f>
        <v>0.753</v>
      </c>
      <c r="T208" s="67">
        <v>2021</v>
      </c>
      <c r="V208" s="90"/>
    </row>
    <row r="209" spans="1:22" ht="15" x14ac:dyDescent="0.2">
      <c r="A209" s="61" t="s">
        <v>328</v>
      </c>
      <c r="B209" s="61">
        <v>1</v>
      </c>
      <c r="C209" s="61">
        <v>2</v>
      </c>
      <c r="D209" s="61">
        <v>2</v>
      </c>
      <c r="E209" s="61">
        <v>0</v>
      </c>
      <c r="F209" s="61">
        <v>6</v>
      </c>
      <c r="G209" s="61"/>
      <c r="H209" s="62" t="s">
        <v>317</v>
      </c>
      <c r="I209" s="63" t="s">
        <v>220</v>
      </c>
      <c r="J209" s="66"/>
      <c r="K209" s="66"/>
      <c r="L209" s="66"/>
      <c r="M209" s="131"/>
      <c r="N209" s="131"/>
      <c r="O209" s="66"/>
      <c r="P209" s="66">
        <v>1.7</v>
      </c>
      <c r="Q209" s="66"/>
      <c r="R209" s="66"/>
      <c r="S209" s="66">
        <f t="shared" si="48"/>
        <v>1.7</v>
      </c>
      <c r="T209" s="67">
        <v>2022</v>
      </c>
      <c r="V209" s="90"/>
    </row>
    <row r="210" spans="1:22" ht="30" x14ac:dyDescent="0.2">
      <c r="A210" s="61" t="s">
        <v>328</v>
      </c>
      <c r="B210" s="61">
        <v>1</v>
      </c>
      <c r="C210" s="61">
        <v>2</v>
      </c>
      <c r="D210" s="61">
        <v>2</v>
      </c>
      <c r="E210" s="61">
        <v>0</v>
      </c>
      <c r="F210" s="61">
        <v>7</v>
      </c>
      <c r="G210" s="61"/>
      <c r="H210" s="62" t="s">
        <v>433</v>
      </c>
      <c r="I210" s="63" t="s">
        <v>259</v>
      </c>
      <c r="J210" s="71">
        <f>SUM(J211:J213)</f>
        <v>0</v>
      </c>
      <c r="K210" s="71">
        <f t="shared" ref="K210:R210" si="49">SUM(K211:K213)</f>
        <v>0</v>
      </c>
      <c r="L210" s="71">
        <f t="shared" si="49"/>
        <v>0</v>
      </c>
      <c r="M210" s="71">
        <f t="shared" si="49"/>
        <v>4038.2</v>
      </c>
      <c r="N210" s="71">
        <f t="shared" si="49"/>
        <v>15223.900000000001</v>
      </c>
      <c r="O210" s="71">
        <f t="shared" si="49"/>
        <v>309928.59999999998</v>
      </c>
      <c r="P210" s="71">
        <f t="shared" si="49"/>
        <v>0</v>
      </c>
      <c r="Q210" s="71">
        <f t="shared" si="49"/>
        <v>0</v>
      </c>
      <c r="R210" s="71">
        <f t="shared" si="49"/>
        <v>0</v>
      </c>
      <c r="S210" s="65">
        <f t="shared" ref="S210:S216" si="50">SUM(J210:R210)</f>
        <v>329190.69999999995</v>
      </c>
      <c r="T210" s="67">
        <v>2021</v>
      </c>
    </row>
    <row r="211" spans="1:22" ht="15" x14ac:dyDescent="0.2">
      <c r="A211" s="61" t="s">
        <v>328</v>
      </c>
      <c r="B211" s="61">
        <v>1</v>
      </c>
      <c r="C211" s="61">
        <v>2</v>
      </c>
      <c r="D211" s="61">
        <v>2</v>
      </c>
      <c r="E211" s="61">
        <v>0</v>
      </c>
      <c r="F211" s="61">
        <v>7</v>
      </c>
      <c r="G211" s="61">
        <v>1</v>
      </c>
      <c r="H211" s="62" t="s">
        <v>218</v>
      </c>
      <c r="I211" s="63" t="s">
        <v>259</v>
      </c>
      <c r="J211" s="71"/>
      <c r="K211" s="93"/>
      <c r="L211" s="135"/>
      <c r="M211" s="82"/>
      <c r="N211" s="135">
        <v>10000</v>
      </c>
      <c r="O211" s="135">
        <v>299810</v>
      </c>
      <c r="P211" s="135"/>
      <c r="Q211" s="135"/>
      <c r="R211" s="135"/>
      <c r="S211" s="65">
        <f t="shared" si="50"/>
        <v>309810</v>
      </c>
      <c r="T211" s="67">
        <v>2021</v>
      </c>
    </row>
    <row r="212" spans="1:22" ht="15" x14ac:dyDescent="0.2">
      <c r="A212" s="61" t="s">
        <v>328</v>
      </c>
      <c r="B212" s="61">
        <v>1</v>
      </c>
      <c r="C212" s="61">
        <v>2</v>
      </c>
      <c r="D212" s="61">
        <v>2</v>
      </c>
      <c r="E212" s="61">
        <v>0</v>
      </c>
      <c r="F212" s="61">
        <v>7</v>
      </c>
      <c r="G212" s="61">
        <v>2</v>
      </c>
      <c r="H212" s="62" t="s">
        <v>228</v>
      </c>
      <c r="I212" s="63" t="s">
        <v>259</v>
      </c>
      <c r="J212" s="71"/>
      <c r="K212" s="93"/>
      <c r="L212" s="135"/>
      <c r="M212" s="82"/>
      <c r="N212" s="135">
        <v>204.1</v>
      </c>
      <c r="O212" s="135">
        <v>6118.6</v>
      </c>
      <c r="P212" s="135"/>
      <c r="Q212" s="135"/>
      <c r="R212" s="135"/>
      <c r="S212" s="65">
        <f t="shared" si="50"/>
        <v>6322.7000000000007</v>
      </c>
      <c r="T212" s="67">
        <v>2021</v>
      </c>
    </row>
    <row r="213" spans="1:22" ht="15" x14ac:dyDescent="0.2">
      <c r="A213" s="61" t="s">
        <v>328</v>
      </c>
      <c r="B213" s="61">
        <v>1</v>
      </c>
      <c r="C213" s="61">
        <v>2</v>
      </c>
      <c r="D213" s="61">
        <v>2</v>
      </c>
      <c r="E213" s="61">
        <v>0</v>
      </c>
      <c r="F213" s="61">
        <v>7</v>
      </c>
      <c r="G213" s="61">
        <v>3</v>
      </c>
      <c r="H213" s="62" t="s">
        <v>229</v>
      </c>
      <c r="I213" s="63" t="s">
        <v>259</v>
      </c>
      <c r="J213" s="71"/>
      <c r="K213" s="93"/>
      <c r="L213" s="135"/>
      <c r="M213" s="82">
        <v>4038.2</v>
      </c>
      <c r="N213" s="135">
        <v>5019.8</v>
      </c>
      <c r="O213" s="135">
        <v>4000</v>
      </c>
      <c r="P213" s="135"/>
      <c r="Q213" s="135"/>
      <c r="R213" s="135"/>
      <c r="S213" s="65">
        <f t="shared" si="50"/>
        <v>13058</v>
      </c>
      <c r="T213" s="67">
        <v>2021</v>
      </c>
    </row>
    <row r="214" spans="1:22" ht="15" x14ac:dyDescent="0.2">
      <c r="A214" s="61" t="s">
        <v>328</v>
      </c>
      <c r="B214" s="61">
        <v>1</v>
      </c>
      <c r="C214" s="61">
        <v>2</v>
      </c>
      <c r="D214" s="61">
        <v>2</v>
      </c>
      <c r="E214" s="61">
        <v>0</v>
      </c>
      <c r="F214" s="61">
        <v>7</v>
      </c>
      <c r="G214" s="61"/>
      <c r="H214" s="62" t="s">
        <v>102</v>
      </c>
      <c r="I214" s="63" t="s">
        <v>385</v>
      </c>
      <c r="J214" s="71"/>
      <c r="K214" s="93"/>
      <c r="L214" s="135"/>
      <c r="M214" s="127">
        <v>1</v>
      </c>
      <c r="N214" s="135"/>
      <c r="O214" s="135"/>
      <c r="P214" s="135"/>
      <c r="Q214" s="135"/>
      <c r="R214" s="135"/>
      <c r="S214" s="65">
        <f t="shared" si="50"/>
        <v>1</v>
      </c>
      <c r="T214" s="67">
        <v>2019</v>
      </c>
    </row>
    <row r="215" spans="1:22" ht="15" x14ac:dyDescent="0.2">
      <c r="A215" s="61" t="s">
        <v>328</v>
      </c>
      <c r="B215" s="61">
        <v>1</v>
      </c>
      <c r="C215" s="61">
        <v>2</v>
      </c>
      <c r="D215" s="61">
        <v>2</v>
      </c>
      <c r="E215" s="61">
        <v>0</v>
      </c>
      <c r="F215" s="61">
        <v>7</v>
      </c>
      <c r="G215" s="61"/>
      <c r="H215" s="62" t="s">
        <v>13</v>
      </c>
      <c r="I215" s="63" t="s">
        <v>220</v>
      </c>
      <c r="J215" s="71"/>
      <c r="K215" s="93"/>
      <c r="L215" s="135"/>
      <c r="M215" s="82"/>
      <c r="N215" s="135">
        <v>2.198</v>
      </c>
      <c r="O215" s="135"/>
      <c r="P215" s="135"/>
      <c r="Q215" s="135"/>
      <c r="R215" s="135"/>
      <c r="S215" s="65">
        <f t="shared" si="50"/>
        <v>2.198</v>
      </c>
      <c r="T215" s="67">
        <v>2020</v>
      </c>
    </row>
    <row r="216" spans="1:22" ht="15" x14ac:dyDescent="0.2">
      <c r="A216" s="61" t="s">
        <v>328</v>
      </c>
      <c r="B216" s="61">
        <v>1</v>
      </c>
      <c r="C216" s="61">
        <v>2</v>
      </c>
      <c r="D216" s="61">
        <v>2</v>
      </c>
      <c r="E216" s="61">
        <v>0</v>
      </c>
      <c r="F216" s="61">
        <v>7</v>
      </c>
      <c r="G216" s="61"/>
      <c r="H216" s="62" t="s">
        <v>12</v>
      </c>
      <c r="I216" s="63" t="s">
        <v>220</v>
      </c>
      <c r="J216" s="71"/>
      <c r="K216" s="93"/>
      <c r="L216" s="135"/>
      <c r="M216" s="82"/>
      <c r="N216" s="135"/>
      <c r="O216" s="135">
        <v>3.68</v>
      </c>
      <c r="P216" s="135"/>
      <c r="Q216" s="135"/>
      <c r="R216" s="135"/>
      <c r="S216" s="65">
        <f t="shared" si="50"/>
        <v>3.68</v>
      </c>
      <c r="T216" s="67">
        <v>2021</v>
      </c>
    </row>
    <row r="217" spans="1:22" ht="30" x14ac:dyDescent="0.2">
      <c r="A217" s="61" t="s">
        <v>328</v>
      </c>
      <c r="B217" s="61">
        <v>1</v>
      </c>
      <c r="C217" s="61">
        <v>2</v>
      </c>
      <c r="D217" s="61">
        <v>2</v>
      </c>
      <c r="E217" s="61">
        <v>0</v>
      </c>
      <c r="F217" s="61">
        <v>8</v>
      </c>
      <c r="G217" s="61"/>
      <c r="H217" s="62" t="s">
        <v>434</v>
      </c>
      <c r="I217" s="63" t="s">
        <v>259</v>
      </c>
      <c r="J217" s="71">
        <f t="shared" ref="J217:R217" si="51">J219+J220+J218</f>
        <v>499.99999999999994</v>
      </c>
      <c r="K217" s="71">
        <f t="shared" si="51"/>
        <v>0</v>
      </c>
      <c r="L217" s="71">
        <f t="shared" si="51"/>
        <v>0</v>
      </c>
      <c r="M217" s="71">
        <f t="shared" si="51"/>
        <v>0</v>
      </c>
      <c r="N217" s="71">
        <f t="shared" si="51"/>
        <v>64160</v>
      </c>
      <c r="O217" s="71">
        <f t="shared" si="51"/>
        <v>0</v>
      </c>
      <c r="P217" s="71">
        <f t="shared" si="51"/>
        <v>0</v>
      </c>
      <c r="Q217" s="71">
        <f t="shared" si="51"/>
        <v>0</v>
      </c>
      <c r="R217" s="71">
        <f t="shared" si="51"/>
        <v>0</v>
      </c>
      <c r="S217" s="66">
        <f t="shared" si="48"/>
        <v>64660</v>
      </c>
      <c r="T217" s="67">
        <v>2020</v>
      </c>
      <c r="V217" s="90"/>
    </row>
    <row r="218" spans="1:22" ht="15" x14ac:dyDescent="0.2">
      <c r="A218" s="61" t="s">
        <v>328</v>
      </c>
      <c r="B218" s="61">
        <v>1</v>
      </c>
      <c r="C218" s="61">
        <v>2</v>
      </c>
      <c r="D218" s="61">
        <v>2</v>
      </c>
      <c r="E218" s="61">
        <v>0</v>
      </c>
      <c r="F218" s="61">
        <v>9</v>
      </c>
      <c r="G218" s="61">
        <v>1</v>
      </c>
      <c r="H218" s="62" t="s">
        <v>218</v>
      </c>
      <c r="I218" s="63" t="s">
        <v>259</v>
      </c>
      <c r="J218" s="71"/>
      <c r="K218" s="71"/>
      <c r="L218" s="71"/>
      <c r="M218" s="71"/>
      <c r="N218" s="71">
        <v>54839.6</v>
      </c>
      <c r="O218" s="71"/>
      <c r="P218" s="71"/>
      <c r="Q218" s="71"/>
      <c r="R218" s="71"/>
      <c r="S218" s="66">
        <f t="shared" si="48"/>
        <v>54839.6</v>
      </c>
      <c r="T218" s="67">
        <v>2020</v>
      </c>
      <c r="V218" s="90"/>
    </row>
    <row r="219" spans="1:22" ht="15" x14ac:dyDescent="0.2">
      <c r="A219" s="61" t="s">
        <v>328</v>
      </c>
      <c r="B219" s="61">
        <v>1</v>
      </c>
      <c r="C219" s="61">
        <v>2</v>
      </c>
      <c r="D219" s="61">
        <v>2</v>
      </c>
      <c r="E219" s="61">
        <v>0</v>
      </c>
      <c r="F219" s="61">
        <v>8</v>
      </c>
      <c r="G219" s="61">
        <v>2</v>
      </c>
      <c r="H219" s="62" t="s">
        <v>228</v>
      </c>
      <c r="I219" s="63" t="s">
        <v>259</v>
      </c>
      <c r="J219" s="71"/>
      <c r="K219" s="71"/>
      <c r="L219" s="82"/>
      <c r="M219" s="82"/>
      <c r="N219" s="82">
        <v>6093.3</v>
      </c>
      <c r="O219" s="82"/>
      <c r="P219" s="82"/>
      <c r="Q219" s="82"/>
      <c r="R219" s="82"/>
      <c r="S219" s="66">
        <f t="shared" si="48"/>
        <v>6093.3</v>
      </c>
      <c r="T219" s="67">
        <v>2020</v>
      </c>
      <c r="V219" s="90"/>
    </row>
    <row r="220" spans="1:22" ht="15" x14ac:dyDescent="0.2">
      <c r="A220" s="61" t="s">
        <v>328</v>
      </c>
      <c r="B220" s="61">
        <v>1</v>
      </c>
      <c r="C220" s="61">
        <v>2</v>
      </c>
      <c r="D220" s="61">
        <v>2</v>
      </c>
      <c r="E220" s="61">
        <v>0</v>
      </c>
      <c r="F220" s="61">
        <v>8</v>
      </c>
      <c r="G220" s="61">
        <v>3</v>
      </c>
      <c r="H220" s="62" t="s">
        <v>229</v>
      </c>
      <c r="I220" s="63" t="s">
        <v>259</v>
      </c>
      <c r="J220" s="71">
        <f>528.3-28.3</f>
        <v>499.99999999999994</v>
      </c>
      <c r="K220" s="71"/>
      <c r="L220" s="82"/>
      <c r="M220" s="82"/>
      <c r="N220" s="82">
        <v>3227.1</v>
      </c>
      <c r="O220" s="82"/>
      <c r="P220" s="82"/>
      <c r="Q220" s="82"/>
      <c r="R220" s="82"/>
      <c r="S220" s="66">
        <f t="shared" si="48"/>
        <v>3727.1</v>
      </c>
      <c r="T220" s="67">
        <v>2020</v>
      </c>
      <c r="V220" s="90"/>
    </row>
    <row r="221" spans="1:22" ht="15" x14ac:dyDescent="0.2">
      <c r="A221" s="61" t="s">
        <v>328</v>
      </c>
      <c r="B221" s="61">
        <v>1</v>
      </c>
      <c r="C221" s="61">
        <v>2</v>
      </c>
      <c r="D221" s="61">
        <v>2</v>
      </c>
      <c r="E221" s="61">
        <v>0</v>
      </c>
      <c r="F221" s="61">
        <v>8</v>
      </c>
      <c r="G221" s="61"/>
      <c r="H221" s="62" t="s">
        <v>102</v>
      </c>
      <c r="I221" s="63" t="s">
        <v>260</v>
      </c>
      <c r="J221" s="95">
        <v>1</v>
      </c>
      <c r="K221" s="95"/>
      <c r="L221" s="95"/>
      <c r="M221" s="95"/>
      <c r="N221" s="95"/>
      <c r="O221" s="95"/>
      <c r="P221" s="95"/>
      <c r="Q221" s="95"/>
      <c r="R221" s="95"/>
      <c r="S221" s="66">
        <f t="shared" si="48"/>
        <v>1</v>
      </c>
      <c r="T221" s="67">
        <v>2016</v>
      </c>
      <c r="V221" s="90"/>
    </row>
    <row r="222" spans="1:22" ht="15" x14ac:dyDescent="0.2">
      <c r="A222" s="61" t="s">
        <v>328</v>
      </c>
      <c r="B222" s="61">
        <v>1</v>
      </c>
      <c r="C222" s="61">
        <v>2</v>
      </c>
      <c r="D222" s="61">
        <v>2</v>
      </c>
      <c r="E222" s="61">
        <v>0</v>
      </c>
      <c r="F222" s="61">
        <v>8</v>
      </c>
      <c r="G222" s="61"/>
      <c r="H222" s="62" t="s">
        <v>362</v>
      </c>
      <c r="I222" s="63" t="s">
        <v>387</v>
      </c>
      <c r="J222" s="66"/>
      <c r="K222" s="66"/>
      <c r="L222" s="66"/>
      <c r="M222" s="66"/>
      <c r="N222" s="66">
        <v>2370</v>
      </c>
      <c r="O222" s="66"/>
      <c r="P222" s="66"/>
      <c r="Q222" s="66"/>
      <c r="R222" s="66"/>
      <c r="S222" s="66">
        <f t="shared" si="48"/>
        <v>2370</v>
      </c>
      <c r="T222" s="67">
        <v>2020</v>
      </c>
      <c r="V222" s="90"/>
    </row>
    <row r="223" spans="1:22" ht="45" x14ac:dyDescent="0.2">
      <c r="A223" s="61" t="s">
        <v>328</v>
      </c>
      <c r="B223" s="61">
        <v>1</v>
      </c>
      <c r="C223" s="61">
        <v>2</v>
      </c>
      <c r="D223" s="61">
        <v>2</v>
      </c>
      <c r="E223" s="61">
        <v>0</v>
      </c>
      <c r="F223" s="61">
        <v>9</v>
      </c>
      <c r="G223" s="61"/>
      <c r="H223" s="62" t="s">
        <v>431</v>
      </c>
      <c r="I223" s="63" t="s">
        <v>259</v>
      </c>
      <c r="J223" s="71">
        <f>J225+J226</f>
        <v>0</v>
      </c>
      <c r="K223" s="71">
        <f>K225+K226</f>
        <v>0</v>
      </c>
      <c r="L223" s="71">
        <f t="shared" ref="L223:R223" si="52">L225+L226+L224</f>
        <v>46165</v>
      </c>
      <c r="M223" s="71">
        <f t="shared" si="52"/>
        <v>126008</v>
      </c>
      <c r="N223" s="71">
        <f t="shared" si="52"/>
        <v>0</v>
      </c>
      <c r="O223" s="71">
        <f t="shared" si="52"/>
        <v>0</v>
      </c>
      <c r="P223" s="71">
        <f t="shared" si="52"/>
        <v>0</v>
      </c>
      <c r="Q223" s="71">
        <f t="shared" si="52"/>
        <v>0</v>
      </c>
      <c r="R223" s="71">
        <f t="shared" si="52"/>
        <v>0</v>
      </c>
      <c r="S223" s="66">
        <f t="shared" si="48"/>
        <v>172173</v>
      </c>
      <c r="T223" s="67">
        <v>2019</v>
      </c>
      <c r="V223" s="90"/>
    </row>
    <row r="224" spans="1:22" ht="15" x14ac:dyDescent="0.2">
      <c r="A224" s="61" t="s">
        <v>328</v>
      </c>
      <c r="B224" s="61">
        <v>1</v>
      </c>
      <c r="C224" s="61">
        <v>2</v>
      </c>
      <c r="D224" s="61">
        <v>2</v>
      </c>
      <c r="E224" s="61">
        <v>0</v>
      </c>
      <c r="F224" s="61">
        <v>9</v>
      </c>
      <c r="G224" s="61">
        <v>1</v>
      </c>
      <c r="H224" s="62" t="s">
        <v>218</v>
      </c>
      <c r="I224" s="63" t="s">
        <v>259</v>
      </c>
      <c r="J224" s="71"/>
      <c r="K224" s="71"/>
      <c r="L224" s="71">
        <v>31958</v>
      </c>
      <c r="M224" s="71"/>
      <c r="N224" s="71"/>
      <c r="O224" s="71"/>
      <c r="P224" s="71"/>
      <c r="Q224" s="71"/>
      <c r="R224" s="71"/>
      <c r="S224" s="66">
        <f t="shared" si="48"/>
        <v>31958</v>
      </c>
      <c r="T224" s="67">
        <v>2018</v>
      </c>
      <c r="V224" s="90"/>
    </row>
    <row r="225" spans="1:22" ht="15" x14ac:dyDescent="0.2">
      <c r="A225" s="61" t="s">
        <v>328</v>
      </c>
      <c r="B225" s="61">
        <v>1</v>
      </c>
      <c r="C225" s="61">
        <v>2</v>
      </c>
      <c r="D225" s="61">
        <v>2</v>
      </c>
      <c r="E225" s="61">
        <v>0</v>
      </c>
      <c r="F225" s="61">
        <v>9</v>
      </c>
      <c r="G225" s="61">
        <v>2</v>
      </c>
      <c r="H225" s="62" t="s">
        <v>228</v>
      </c>
      <c r="I225" s="63" t="s">
        <v>259</v>
      </c>
      <c r="J225" s="71"/>
      <c r="K225" s="71"/>
      <c r="L225" s="71">
        <v>3550.9</v>
      </c>
      <c r="M225" s="71">
        <v>97795.7</v>
      </c>
      <c r="N225" s="71"/>
      <c r="O225" s="71"/>
      <c r="P225" s="71"/>
      <c r="Q225" s="71"/>
      <c r="R225" s="71"/>
      <c r="S225" s="66">
        <f t="shared" si="48"/>
        <v>101346.59999999999</v>
      </c>
      <c r="T225" s="67">
        <v>2019</v>
      </c>
      <c r="V225" s="90"/>
    </row>
    <row r="226" spans="1:22" ht="15" x14ac:dyDescent="0.2">
      <c r="A226" s="61" t="s">
        <v>328</v>
      </c>
      <c r="B226" s="61">
        <v>1</v>
      </c>
      <c r="C226" s="61">
        <v>2</v>
      </c>
      <c r="D226" s="61">
        <v>2</v>
      </c>
      <c r="E226" s="61">
        <v>0</v>
      </c>
      <c r="F226" s="61">
        <v>9</v>
      </c>
      <c r="G226" s="61">
        <v>3</v>
      </c>
      <c r="H226" s="62" t="s">
        <v>229</v>
      </c>
      <c r="I226" s="63" t="s">
        <v>259</v>
      </c>
      <c r="J226" s="71"/>
      <c r="K226" s="71"/>
      <c r="L226" s="71">
        <f>10656.2-0.1</f>
        <v>10656.1</v>
      </c>
      <c r="M226" s="71">
        <v>28212.3</v>
      </c>
      <c r="N226" s="71"/>
      <c r="O226" s="71"/>
      <c r="P226" s="71"/>
      <c r="Q226" s="71"/>
      <c r="R226" s="71"/>
      <c r="S226" s="66">
        <f t="shared" si="48"/>
        <v>38868.400000000001</v>
      </c>
      <c r="T226" s="67">
        <v>2019</v>
      </c>
      <c r="V226" s="90"/>
    </row>
    <row r="227" spans="1:22" ht="30" x14ac:dyDescent="0.2">
      <c r="A227" s="61" t="s">
        <v>328</v>
      </c>
      <c r="B227" s="61">
        <v>1</v>
      </c>
      <c r="C227" s="61">
        <v>2</v>
      </c>
      <c r="D227" s="61">
        <v>2</v>
      </c>
      <c r="E227" s="61">
        <v>0</v>
      </c>
      <c r="F227" s="61">
        <v>9</v>
      </c>
      <c r="G227" s="61"/>
      <c r="H227" s="62" t="s">
        <v>424</v>
      </c>
      <c r="I227" s="63" t="s">
        <v>220</v>
      </c>
      <c r="J227" s="71"/>
      <c r="K227" s="71"/>
      <c r="L227" s="71">
        <v>1.901</v>
      </c>
      <c r="M227" s="71"/>
      <c r="N227" s="71"/>
      <c r="O227" s="71"/>
      <c r="P227" s="71"/>
      <c r="Q227" s="71"/>
      <c r="R227" s="71"/>
      <c r="S227" s="66">
        <f t="shared" si="48"/>
        <v>1.901</v>
      </c>
      <c r="T227" s="67">
        <v>2018</v>
      </c>
      <c r="V227" s="90"/>
    </row>
    <row r="228" spans="1:22" ht="15" x14ac:dyDescent="0.2">
      <c r="A228" s="61" t="s">
        <v>328</v>
      </c>
      <c r="B228" s="61">
        <v>1</v>
      </c>
      <c r="C228" s="61">
        <v>2</v>
      </c>
      <c r="D228" s="61">
        <v>2</v>
      </c>
      <c r="E228" s="61">
        <v>0</v>
      </c>
      <c r="F228" s="61">
        <v>9</v>
      </c>
      <c r="G228" s="61"/>
      <c r="H228" s="62" t="s">
        <v>226</v>
      </c>
      <c r="I228" s="63" t="s">
        <v>387</v>
      </c>
      <c r="J228" s="71"/>
      <c r="K228" s="71"/>
      <c r="L228" s="135"/>
      <c r="M228" s="135">
        <v>22685.58</v>
      </c>
      <c r="N228" s="61"/>
      <c r="O228" s="61"/>
      <c r="P228" s="61"/>
      <c r="Q228" s="61"/>
      <c r="R228" s="61"/>
      <c r="S228" s="66">
        <f t="shared" si="48"/>
        <v>22685.58</v>
      </c>
      <c r="T228" s="67">
        <v>2019</v>
      </c>
      <c r="V228" s="90"/>
    </row>
    <row r="229" spans="1:22" ht="30" x14ac:dyDescent="0.2">
      <c r="A229" s="61" t="s">
        <v>328</v>
      </c>
      <c r="B229" s="61">
        <v>1</v>
      </c>
      <c r="C229" s="61">
        <v>2</v>
      </c>
      <c r="D229" s="61">
        <v>2</v>
      </c>
      <c r="E229" s="61">
        <v>0</v>
      </c>
      <c r="F229" s="61">
        <v>9</v>
      </c>
      <c r="G229" s="61"/>
      <c r="H229" s="62" t="s">
        <v>227</v>
      </c>
      <c r="I229" s="63" t="s">
        <v>395</v>
      </c>
      <c r="J229" s="71"/>
      <c r="K229" s="71"/>
      <c r="L229" s="135"/>
      <c r="M229" s="82">
        <f>172+29</f>
        <v>201</v>
      </c>
      <c r="N229" s="61"/>
      <c r="O229" s="61"/>
      <c r="P229" s="61"/>
      <c r="Q229" s="61"/>
      <c r="R229" s="61"/>
      <c r="S229" s="66">
        <f t="shared" si="48"/>
        <v>201</v>
      </c>
      <c r="T229" s="67">
        <v>2019</v>
      </c>
      <c r="V229" s="90"/>
    </row>
    <row r="230" spans="1:22" ht="30" x14ac:dyDescent="0.2">
      <c r="A230" s="61" t="s">
        <v>328</v>
      </c>
      <c r="B230" s="61">
        <v>1</v>
      </c>
      <c r="C230" s="61">
        <v>2</v>
      </c>
      <c r="D230" s="61">
        <v>2</v>
      </c>
      <c r="E230" s="61">
        <v>0</v>
      </c>
      <c r="F230" s="61">
        <v>9</v>
      </c>
      <c r="G230" s="61"/>
      <c r="H230" s="62" t="s">
        <v>119</v>
      </c>
      <c r="I230" s="63" t="s">
        <v>395</v>
      </c>
      <c r="J230" s="71"/>
      <c r="K230" s="71"/>
      <c r="L230" s="135"/>
      <c r="M230" s="82">
        <v>113</v>
      </c>
      <c r="N230" s="61"/>
      <c r="O230" s="61"/>
      <c r="P230" s="61"/>
      <c r="Q230" s="61"/>
      <c r="R230" s="61"/>
      <c r="S230" s="66">
        <f t="shared" si="48"/>
        <v>113</v>
      </c>
      <c r="T230" s="67">
        <v>2019</v>
      </c>
      <c r="V230" s="90"/>
    </row>
    <row r="231" spans="1:22" ht="30" x14ac:dyDescent="0.2">
      <c r="A231" s="61" t="s">
        <v>328</v>
      </c>
      <c r="B231" s="61">
        <v>1</v>
      </c>
      <c r="C231" s="61">
        <v>2</v>
      </c>
      <c r="D231" s="61">
        <v>2</v>
      </c>
      <c r="E231" s="61">
        <v>0</v>
      </c>
      <c r="F231" s="61">
        <v>9</v>
      </c>
      <c r="G231" s="61"/>
      <c r="H231" s="62" t="s">
        <v>429</v>
      </c>
      <c r="I231" s="63" t="s">
        <v>395</v>
      </c>
      <c r="J231" s="71"/>
      <c r="K231" s="71"/>
      <c r="L231" s="135"/>
      <c r="M231" s="82">
        <v>2</v>
      </c>
      <c r="N231" s="61"/>
      <c r="O231" s="61"/>
      <c r="P231" s="61"/>
      <c r="Q231" s="61"/>
      <c r="R231" s="61"/>
      <c r="S231" s="66">
        <f t="shared" si="48"/>
        <v>2</v>
      </c>
      <c r="T231" s="67">
        <v>2019</v>
      </c>
      <c r="V231" s="90"/>
    </row>
    <row r="232" spans="1:22" ht="30" x14ac:dyDescent="0.2">
      <c r="A232" s="61" t="s">
        <v>328</v>
      </c>
      <c r="B232" s="61">
        <v>1</v>
      </c>
      <c r="C232" s="61">
        <v>2</v>
      </c>
      <c r="D232" s="61">
        <v>2</v>
      </c>
      <c r="E232" s="61">
        <v>1</v>
      </c>
      <c r="F232" s="61">
        <v>0</v>
      </c>
      <c r="G232" s="61">
        <v>3</v>
      </c>
      <c r="H232" s="62" t="s">
        <v>358</v>
      </c>
      <c r="I232" s="63" t="s">
        <v>259</v>
      </c>
      <c r="J232" s="71">
        <v>0</v>
      </c>
      <c r="K232" s="71">
        <v>665.6</v>
      </c>
      <c r="L232" s="71">
        <v>90.1</v>
      </c>
      <c r="M232" s="71">
        <v>0</v>
      </c>
      <c r="N232" s="71">
        <v>0</v>
      </c>
      <c r="O232" s="71">
        <v>0</v>
      </c>
      <c r="P232" s="71">
        <v>0</v>
      </c>
      <c r="Q232" s="71">
        <v>0</v>
      </c>
      <c r="R232" s="71">
        <v>0</v>
      </c>
      <c r="S232" s="66">
        <f t="shared" si="48"/>
        <v>755.7</v>
      </c>
      <c r="T232" s="67">
        <v>2018</v>
      </c>
      <c r="V232" s="90"/>
    </row>
    <row r="233" spans="1:22" ht="15" x14ac:dyDescent="0.2">
      <c r="A233" s="61" t="s">
        <v>328</v>
      </c>
      <c r="B233" s="61">
        <v>1</v>
      </c>
      <c r="C233" s="61">
        <v>2</v>
      </c>
      <c r="D233" s="61">
        <v>2</v>
      </c>
      <c r="E233" s="61">
        <v>1</v>
      </c>
      <c r="F233" s="61">
        <v>0</v>
      </c>
      <c r="G233" s="61"/>
      <c r="H233" s="62" t="s">
        <v>74</v>
      </c>
      <c r="I233" s="63" t="s">
        <v>83</v>
      </c>
      <c r="J233" s="71"/>
      <c r="K233" s="93">
        <v>23.15</v>
      </c>
      <c r="L233" s="135"/>
      <c r="M233" s="135"/>
      <c r="N233" s="135"/>
      <c r="O233" s="135"/>
      <c r="P233" s="135"/>
      <c r="Q233" s="135"/>
      <c r="R233" s="135"/>
      <c r="S233" s="65">
        <f t="shared" si="48"/>
        <v>23.15</v>
      </c>
      <c r="T233" s="67">
        <v>2017</v>
      </c>
      <c r="V233" s="90"/>
    </row>
    <row r="234" spans="1:22" ht="15" x14ac:dyDescent="0.2">
      <c r="A234" s="61" t="s">
        <v>328</v>
      </c>
      <c r="B234" s="61">
        <v>1</v>
      </c>
      <c r="C234" s="61">
        <v>2</v>
      </c>
      <c r="D234" s="61">
        <v>2</v>
      </c>
      <c r="E234" s="61">
        <v>1</v>
      </c>
      <c r="F234" s="61">
        <v>0</v>
      </c>
      <c r="G234" s="61"/>
      <c r="H234" s="62" t="s">
        <v>59</v>
      </c>
      <c r="I234" s="63" t="s">
        <v>258</v>
      </c>
      <c r="J234" s="96"/>
      <c r="K234" s="136"/>
      <c r="L234" s="135">
        <v>64</v>
      </c>
      <c r="M234" s="137"/>
      <c r="N234" s="137"/>
      <c r="O234" s="137"/>
      <c r="P234" s="137"/>
      <c r="Q234" s="137"/>
      <c r="R234" s="137"/>
      <c r="S234" s="65">
        <f t="shared" si="48"/>
        <v>64</v>
      </c>
      <c r="T234" s="67">
        <v>2018</v>
      </c>
      <c r="V234" s="90"/>
    </row>
    <row r="235" spans="1:22" ht="30" x14ac:dyDescent="0.2">
      <c r="A235" s="61" t="s">
        <v>328</v>
      </c>
      <c r="B235" s="61">
        <v>1</v>
      </c>
      <c r="C235" s="61">
        <v>2</v>
      </c>
      <c r="D235" s="61">
        <v>2</v>
      </c>
      <c r="E235" s="61">
        <v>1</v>
      </c>
      <c r="F235" s="61">
        <v>1</v>
      </c>
      <c r="G235" s="61"/>
      <c r="H235" s="62" t="s">
        <v>0</v>
      </c>
      <c r="I235" s="63" t="s">
        <v>259</v>
      </c>
      <c r="J235" s="71"/>
      <c r="K235" s="93"/>
      <c r="L235" s="82">
        <f>SUM(L236:L238)</f>
        <v>72323.599999999991</v>
      </c>
      <c r="M235" s="82">
        <f>SUM(M236:M238)</f>
        <v>185408.6</v>
      </c>
      <c r="N235" s="82">
        <f>SUM(N236:N238)</f>
        <v>7387.3</v>
      </c>
      <c r="O235" s="82">
        <f>SUM(O236:O238)</f>
        <v>0</v>
      </c>
      <c r="P235" s="82">
        <f>SUM(P236:P238)</f>
        <v>0</v>
      </c>
      <c r="Q235" s="135"/>
      <c r="R235" s="135"/>
      <c r="S235" s="65">
        <f t="shared" si="48"/>
        <v>265119.5</v>
      </c>
      <c r="T235" s="67">
        <v>2020</v>
      </c>
      <c r="V235" s="90"/>
    </row>
    <row r="236" spans="1:22" ht="15" x14ac:dyDescent="0.2">
      <c r="A236" s="61" t="s">
        <v>328</v>
      </c>
      <c r="B236" s="61">
        <v>1</v>
      </c>
      <c r="C236" s="61">
        <v>2</v>
      </c>
      <c r="D236" s="61">
        <v>2</v>
      </c>
      <c r="E236" s="61">
        <v>1</v>
      </c>
      <c r="F236" s="61">
        <v>1</v>
      </c>
      <c r="G236" s="61">
        <v>1</v>
      </c>
      <c r="H236" s="62" t="s">
        <v>218</v>
      </c>
      <c r="I236" s="63" t="s">
        <v>259</v>
      </c>
      <c r="J236" s="71"/>
      <c r="K236" s="93"/>
      <c r="L236" s="82">
        <v>50547.199999999997</v>
      </c>
      <c r="M236" s="82"/>
      <c r="N236" s="82"/>
      <c r="O236" s="135"/>
      <c r="P236" s="135"/>
      <c r="Q236" s="135"/>
      <c r="R236" s="135"/>
      <c r="S236" s="65">
        <f t="shared" si="48"/>
        <v>50547.199999999997</v>
      </c>
      <c r="T236" s="67">
        <v>2019</v>
      </c>
      <c r="V236" s="90"/>
    </row>
    <row r="237" spans="1:22" ht="15" x14ac:dyDescent="0.2">
      <c r="A237" s="61" t="s">
        <v>328</v>
      </c>
      <c r="B237" s="61">
        <v>1</v>
      </c>
      <c r="C237" s="61">
        <v>2</v>
      </c>
      <c r="D237" s="61">
        <v>2</v>
      </c>
      <c r="E237" s="61">
        <v>1</v>
      </c>
      <c r="F237" s="61">
        <v>1</v>
      </c>
      <c r="G237" s="61">
        <v>2</v>
      </c>
      <c r="H237" s="62" t="s">
        <v>228</v>
      </c>
      <c r="I237" s="63" t="s">
        <v>259</v>
      </c>
      <c r="J237" s="71"/>
      <c r="K237" s="93"/>
      <c r="L237" s="82">
        <v>5653.7</v>
      </c>
      <c r="M237" s="82">
        <v>179492.5</v>
      </c>
      <c r="N237" s="82">
        <v>3084.8</v>
      </c>
      <c r="O237" s="135"/>
      <c r="P237" s="135"/>
      <c r="Q237" s="135"/>
      <c r="R237" s="135"/>
      <c r="S237" s="65">
        <f t="shared" si="48"/>
        <v>188231</v>
      </c>
      <c r="T237" s="67">
        <v>2020</v>
      </c>
      <c r="V237" s="90"/>
    </row>
    <row r="238" spans="1:22" ht="15" x14ac:dyDescent="0.2">
      <c r="A238" s="61" t="s">
        <v>328</v>
      </c>
      <c r="B238" s="61">
        <v>1</v>
      </c>
      <c r="C238" s="61">
        <v>2</v>
      </c>
      <c r="D238" s="61">
        <v>2</v>
      </c>
      <c r="E238" s="61">
        <v>1</v>
      </c>
      <c r="F238" s="61">
        <v>1</v>
      </c>
      <c r="G238" s="61">
        <v>3</v>
      </c>
      <c r="H238" s="62" t="s">
        <v>229</v>
      </c>
      <c r="I238" s="63" t="s">
        <v>259</v>
      </c>
      <c r="J238" s="71"/>
      <c r="K238" s="93"/>
      <c r="L238" s="82">
        <v>16122.7</v>
      </c>
      <c r="M238" s="82">
        <v>5916.1</v>
      </c>
      <c r="N238" s="82">
        <f>4302.6-0.1</f>
        <v>4302.5</v>
      </c>
      <c r="O238" s="135"/>
      <c r="P238" s="135"/>
      <c r="Q238" s="135"/>
      <c r="R238" s="135"/>
      <c r="S238" s="65">
        <f t="shared" si="48"/>
        <v>26341.300000000003</v>
      </c>
      <c r="T238" s="67">
        <v>2020</v>
      </c>
      <c r="V238" s="90"/>
    </row>
    <row r="239" spans="1:22" ht="30" x14ac:dyDescent="0.2">
      <c r="A239" s="61" t="s">
        <v>328</v>
      </c>
      <c r="B239" s="61">
        <v>1</v>
      </c>
      <c r="C239" s="61">
        <v>2</v>
      </c>
      <c r="D239" s="61">
        <v>2</v>
      </c>
      <c r="E239" s="61">
        <v>1</v>
      </c>
      <c r="F239" s="61">
        <v>1</v>
      </c>
      <c r="G239" s="61"/>
      <c r="H239" s="62" t="s">
        <v>424</v>
      </c>
      <c r="I239" s="63" t="s">
        <v>220</v>
      </c>
      <c r="J239" s="71"/>
      <c r="K239" s="93"/>
      <c r="L239" s="135">
        <v>2.06</v>
      </c>
      <c r="M239" s="135">
        <v>2.06</v>
      </c>
      <c r="N239" s="135"/>
      <c r="O239" s="135"/>
      <c r="P239" s="135"/>
      <c r="Q239" s="135"/>
      <c r="R239" s="135"/>
      <c r="S239" s="65">
        <v>2.06</v>
      </c>
      <c r="T239" s="67">
        <v>2019</v>
      </c>
      <c r="V239" s="90"/>
    </row>
    <row r="240" spans="1:22" ht="15" x14ac:dyDescent="0.2">
      <c r="A240" s="61" t="s">
        <v>328</v>
      </c>
      <c r="B240" s="61">
        <v>1</v>
      </c>
      <c r="C240" s="61">
        <v>2</v>
      </c>
      <c r="D240" s="61">
        <v>2</v>
      </c>
      <c r="E240" s="61">
        <v>1</v>
      </c>
      <c r="F240" s="61">
        <v>1</v>
      </c>
      <c r="G240" s="61"/>
      <c r="H240" s="62" t="s">
        <v>475</v>
      </c>
      <c r="I240" s="63" t="s">
        <v>258</v>
      </c>
      <c r="J240" s="71"/>
      <c r="K240" s="93"/>
      <c r="L240" s="135"/>
      <c r="M240" s="135"/>
      <c r="N240" s="82">
        <v>3523.4</v>
      </c>
      <c r="O240" s="135"/>
      <c r="P240" s="135"/>
      <c r="Q240" s="135"/>
      <c r="R240" s="135"/>
      <c r="S240" s="65">
        <f t="shared" ref="S240:S250" si="53">SUM(J240:R240)</f>
        <v>3523.4</v>
      </c>
      <c r="T240" s="67">
        <v>2020</v>
      </c>
      <c r="V240" s="90"/>
    </row>
    <row r="241" spans="1:22" ht="30" x14ac:dyDescent="0.2">
      <c r="A241" s="61" t="s">
        <v>328</v>
      </c>
      <c r="B241" s="61">
        <v>1</v>
      </c>
      <c r="C241" s="61">
        <v>2</v>
      </c>
      <c r="D241" s="61">
        <v>2</v>
      </c>
      <c r="E241" s="61">
        <v>1</v>
      </c>
      <c r="F241" s="61">
        <v>2</v>
      </c>
      <c r="G241" s="61"/>
      <c r="H241" s="62" t="s">
        <v>370</v>
      </c>
      <c r="I241" s="63" t="s">
        <v>259</v>
      </c>
      <c r="J241" s="71"/>
      <c r="K241" s="93"/>
      <c r="L241" s="135"/>
      <c r="M241" s="82">
        <f>SUM(M242:M244)</f>
        <v>34696.5</v>
      </c>
      <c r="N241" s="135"/>
      <c r="O241" s="135"/>
      <c r="P241" s="135"/>
      <c r="Q241" s="135"/>
      <c r="R241" s="135"/>
      <c r="S241" s="65">
        <f t="shared" si="53"/>
        <v>34696.5</v>
      </c>
      <c r="T241" s="67">
        <v>2019</v>
      </c>
      <c r="V241" s="90"/>
    </row>
    <row r="242" spans="1:22" ht="15" x14ac:dyDescent="0.2">
      <c r="A242" s="61" t="s">
        <v>328</v>
      </c>
      <c r="B242" s="61">
        <v>1</v>
      </c>
      <c r="C242" s="61">
        <v>2</v>
      </c>
      <c r="D242" s="61">
        <v>2</v>
      </c>
      <c r="E242" s="61">
        <v>1</v>
      </c>
      <c r="F242" s="61">
        <v>2</v>
      </c>
      <c r="G242" s="61">
        <v>1</v>
      </c>
      <c r="H242" s="62" t="s">
        <v>218</v>
      </c>
      <c r="I242" s="63" t="s">
        <v>259</v>
      </c>
      <c r="J242" s="71"/>
      <c r="K242" s="93"/>
      <c r="L242" s="135"/>
      <c r="M242" s="82">
        <v>0</v>
      </c>
      <c r="N242" s="135"/>
      <c r="O242" s="135"/>
      <c r="P242" s="135"/>
      <c r="Q242" s="135"/>
      <c r="R242" s="135"/>
      <c r="S242" s="65">
        <f t="shared" si="53"/>
        <v>0</v>
      </c>
      <c r="T242" s="67">
        <v>2019</v>
      </c>
    </row>
    <row r="243" spans="1:22" ht="15" x14ac:dyDescent="0.2">
      <c r="A243" s="61" t="s">
        <v>328</v>
      </c>
      <c r="B243" s="61">
        <v>1</v>
      </c>
      <c r="C243" s="61">
        <v>2</v>
      </c>
      <c r="D243" s="61">
        <v>2</v>
      </c>
      <c r="E243" s="61">
        <v>1</v>
      </c>
      <c r="F243" s="61">
        <v>2</v>
      </c>
      <c r="G243" s="61">
        <v>2</v>
      </c>
      <c r="H243" s="62" t="s">
        <v>228</v>
      </c>
      <c r="I243" s="63" t="s">
        <v>259</v>
      </c>
      <c r="J243" s="71"/>
      <c r="K243" s="93"/>
      <c r="L243" s="135"/>
      <c r="M243" s="82">
        <v>31234.3</v>
      </c>
      <c r="N243" s="135"/>
      <c r="O243" s="135"/>
      <c r="P243" s="135"/>
      <c r="Q243" s="135"/>
      <c r="R243" s="135"/>
      <c r="S243" s="65">
        <f t="shared" si="53"/>
        <v>31234.3</v>
      </c>
      <c r="T243" s="67">
        <v>2019</v>
      </c>
    </row>
    <row r="244" spans="1:22" ht="15" x14ac:dyDescent="0.2">
      <c r="A244" s="61" t="s">
        <v>328</v>
      </c>
      <c r="B244" s="61">
        <v>1</v>
      </c>
      <c r="C244" s="61">
        <v>2</v>
      </c>
      <c r="D244" s="61">
        <v>2</v>
      </c>
      <c r="E244" s="61">
        <v>1</v>
      </c>
      <c r="F244" s="61">
        <v>2</v>
      </c>
      <c r="G244" s="61">
        <v>3</v>
      </c>
      <c r="H244" s="62" t="s">
        <v>229</v>
      </c>
      <c r="I244" s="63" t="s">
        <v>259</v>
      </c>
      <c r="J244" s="71"/>
      <c r="K244" s="93"/>
      <c r="L244" s="135"/>
      <c r="M244" s="82">
        <v>3462.2</v>
      </c>
      <c r="N244" s="135"/>
      <c r="O244" s="135"/>
      <c r="P244" s="135"/>
      <c r="Q244" s="135"/>
      <c r="R244" s="135"/>
      <c r="S244" s="65">
        <f t="shared" si="53"/>
        <v>3462.2</v>
      </c>
      <c r="T244" s="67">
        <v>2019</v>
      </c>
    </row>
    <row r="245" spans="1:22" ht="15" x14ac:dyDescent="0.2">
      <c r="A245" s="61" t="s">
        <v>328</v>
      </c>
      <c r="B245" s="61">
        <v>1</v>
      </c>
      <c r="C245" s="61">
        <v>2</v>
      </c>
      <c r="D245" s="61">
        <v>2</v>
      </c>
      <c r="E245" s="61">
        <v>1</v>
      </c>
      <c r="F245" s="61">
        <v>2</v>
      </c>
      <c r="G245" s="61"/>
      <c r="H245" s="62" t="s">
        <v>225</v>
      </c>
      <c r="I245" s="63" t="s">
        <v>83</v>
      </c>
      <c r="J245" s="71"/>
      <c r="K245" s="93"/>
      <c r="L245" s="135"/>
      <c r="M245" s="82">
        <v>20.6</v>
      </c>
      <c r="N245" s="135"/>
      <c r="O245" s="135"/>
      <c r="P245" s="135"/>
      <c r="Q245" s="135"/>
      <c r="R245" s="135"/>
      <c r="S245" s="65">
        <f t="shared" si="53"/>
        <v>20.6</v>
      </c>
      <c r="T245" s="67">
        <v>2019</v>
      </c>
    </row>
    <row r="246" spans="1:22" ht="30" x14ac:dyDescent="0.2">
      <c r="A246" s="61" t="s">
        <v>328</v>
      </c>
      <c r="B246" s="61">
        <v>1</v>
      </c>
      <c r="C246" s="61">
        <v>2</v>
      </c>
      <c r="D246" s="61">
        <v>2</v>
      </c>
      <c r="E246" s="61">
        <v>1</v>
      </c>
      <c r="F246" s="61">
        <v>3</v>
      </c>
      <c r="G246" s="61"/>
      <c r="H246" s="62" t="s">
        <v>11</v>
      </c>
      <c r="I246" s="63" t="s">
        <v>259</v>
      </c>
      <c r="J246" s="71">
        <f>SUM(J247:J249)</f>
        <v>0</v>
      </c>
      <c r="K246" s="71">
        <f t="shared" ref="K246:R246" si="54">SUM(K247:K249)</f>
        <v>0</v>
      </c>
      <c r="L246" s="71">
        <f t="shared" si="54"/>
        <v>0</v>
      </c>
      <c r="M246" s="71">
        <f t="shared" si="54"/>
        <v>0</v>
      </c>
      <c r="N246" s="71">
        <f t="shared" si="54"/>
        <v>0</v>
      </c>
      <c r="O246" s="71">
        <f t="shared" si="54"/>
        <v>36287.300000000003</v>
      </c>
      <c r="P246" s="71">
        <f t="shared" si="54"/>
        <v>39976.800000000003</v>
      </c>
      <c r="Q246" s="71">
        <f t="shared" si="54"/>
        <v>849452.1</v>
      </c>
      <c r="R246" s="71">
        <f t="shared" si="54"/>
        <v>483287</v>
      </c>
      <c r="S246" s="71">
        <f t="shared" si="53"/>
        <v>1409003.2</v>
      </c>
      <c r="T246" s="67">
        <v>2024</v>
      </c>
    </row>
    <row r="247" spans="1:22" ht="15" x14ac:dyDescent="0.2">
      <c r="A247" s="61" t="s">
        <v>328</v>
      </c>
      <c r="B247" s="61">
        <v>1</v>
      </c>
      <c r="C247" s="61">
        <v>2</v>
      </c>
      <c r="D247" s="61">
        <v>2</v>
      </c>
      <c r="E247" s="61">
        <v>1</v>
      </c>
      <c r="F247" s="61">
        <v>3</v>
      </c>
      <c r="G247" s="61">
        <v>1</v>
      </c>
      <c r="H247" s="62" t="s">
        <v>218</v>
      </c>
      <c r="I247" s="63" t="s">
        <v>259</v>
      </c>
      <c r="J247" s="71"/>
      <c r="K247" s="93"/>
      <c r="L247" s="135"/>
      <c r="M247" s="82"/>
      <c r="N247" s="135"/>
      <c r="O247" s="135"/>
      <c r="P247" s="135"/>
      <c r="Q247" s="82">
        <v>756868.2</v>
      </c>
      <c r="R247" s="82">
        <v>427726.8</v>
      </c>
      <c r="S247" s="66">
        <f t="shared" si="53"/>
        <v>1184595</v>
      </c>
      <c r="T247" s="67">
        <v>2024</v>
      </c>
    </row>
    <row r="248" spans="1:22" ht="15" x14ac:dyDescent="0.2">
      <c r="A248" s="61" t="s">
        <v>328</v>
      </c>
      <c r="B248" s="61">
        <v>1</v>
      </c>
      <c r="C248" s="61">
        <v>2</v>
      </c>
      <c r="D248" s="61">
        <v>2</v>
      </c>
      <c r="E248" s="61">
        <v>1</v>
      </c>
      <c r="F248" s="61">
        <v>3</v>
      </c>
      <c r="G248" s="61">
        <v>2</v>
      </c>
      <c r="H248" s="62" t="s">
        <v>228</v>
      </c>
      <c r="I248" s="63" t="s">
        <v>259</v>
      </c>
      <c r="J248" s="71"/>
      <c r="K248" s="93"/>
      <c r="L248" s="135"/>
      <c r="M248" s="82"/>
      <c r="N248" s="135"/>
      <c r="O248" s="93">
        <v>36287.300000000003</v>
      </c>
      <c r="P248" s="93">
        <v>39976.800000000003</v>
      </c>
      <c r="Q248" s="82">
        <v>84096.5</v>
      </c>
      <c r="R248" s="82">
        <v>47525.2</v>
      </c>
      <c r="S248" s="66">
        <f t="shared" si="53"/>
        <v>207885.8</v>
      </c>
      <c r="T248" s="67">
        <v>2024</v>
      </c>
    </row>
    <row r="249" spans="1:22" ht="15" x14ac:dyDescent="0.2">
      <c r="A249" s="61" t="s">
        <v>328</v>
      </c>
      <c r="B249" s="61">
        <v>1</v>
      </c>
      <c r="C249" s="61">
        <v>2</v>
      </c>
      <c r="D249" s="61">
        <v>2</v>
      </c>
      <c r="E249" s="61">
        <v>1</v>
      </c>
      <c r="F249" s="61">
        <v>3</v>
      </c>
      <c r="G249" s="61">
        <v>3</v>
      </c>
      <c r="H249" s="62" t="s">
        <v>229</v>
      </c>
      <c r="I249" s="63" t="s">
        <v>259</v>
      </c>
      <c r="J249" s="71"/>
      <c r="K249" s="93"/>
      <c r="L249" s="135"/>
      <c r="M249" s="82"/>
      <c r="N249" s="135"/>
      <c r="O249" s="135"/>
      <c r="P249" s="135"/>
      <c r="Q249" s="82">
        <v>8487.4</v>
      </c>
      <c r="R249" s="82">
        <v>8035</v>
      </c>
      <c r="S249" s="66">
        <f t="shared" si="53"/>
        <v>16522.400000000001</v>
      </c>
      <c r="T249" s="67">
        <v>2024</v>
      </c>
    </row>
    <row r="250" spans="1:22" ht="30" x14ac:dyDescent="0.2">
      <c r="A250" s="61" t="s">
        <v>328</v>
      </c>
      <c r="B250" s="61">
        <v>1</v>
      </c>
      <c r="C250" s="61">
        <v>2</v>
      </c>
      <c r="D250" s="61">
        <v>2</v>
      </c>
      <c r="E250" s="61">
        <v>1</v>
      </c>
      <c r="F250" s="61">
        <v>3</v>
      </c>
      <c r="G250" s="61"/>
      <c r="H250" s="62" t="s">
        <v>390</v>
      </c>
      <c r="I250" s="63" t="s">
        <v>220</v>
      </c>
      <c r="J250" s="71"/>
      <c r="K250" s="93"/>
      <c r="L250" s="135"/>
      <c r="M250" s="82"/>
      <c r="N250" s="135"/>
      <c r="O250" s="135">
        <v>21.5</v>
      </c>
      <c r="P250" s="135">
        <v>21.5</v>
      </c>
      <c r="Q250" s="135">
        <v>21.5</v>
      </c>
      <c r="R250" s="135"/>
      <c r="S250" s="65">
        <f t="shared" si="53"/>
        <v>64.5</v>
      </c>
      <c r="T250" s="67">
        <v>2023</v>
      </c>
    </row>
    <row r="251" spans="1:22" ht="30" x14ac:dyDescent="0.2">
      <c r="A251" s="61" t="s">
        <v>328</v>
      </c>
      <c r="B251" s="61">
        <v>1</v>
      </c>
      <c r="C251" s="61">
        <v>2</v>
      </c>
      <c r="D251" s="61">
        <v>2</v>
      </c>
      <c r="E251" s="61">
        <v>1</v>
      </c>
      <c r="F251" s="61">
        <v>3</v>
      </c>
      <c r="G251" s="61"/>
      <c r="H251" s="62" t="s">
        <v>315</v>
      </c>
      <c r="I251" s="63" t="s">
        <v>316</v>
      </c>
      <c r="J251" s="71"/>
      <c r="K251" s="93"/>
      <c r="L251" s="135"/>
      <c r="M251" s="82"/>
      <c r="N251" s="135"/>
      <c r="O251" s="82"/>
      <c r="P251" s="135"/>
      <c r="Q251" s="135"/>
      <c r="R251" s="82">
        <v>60.7</v>
      </c>
      <c r="S251" s="65">
        <f>SUM(J251:R251)</f>
        <v>60.7</v>
      </c>
      <c r="T251" s="67">
        <v>2024</v>
      </c>
    </row>
    <row r="252" spans="1:22" ht="30" x14ac:dyDescent="0.2">
      <c r="A252" s="61" t="s">
        <v>328</v>
      </c>
      <c r="B252" s="61">
        <v>1</v>
      </c>
      <c r="C252" s="61">
        <v>2</v>
      </c>
      <c r="D252" s="61">
        <v>2</v>
      </c>
      <c r="E252" s="61">
        <v>1</v>
      </c>
      <c r="F252" s="61">
        <v>4</v>
      </c>
      <c r="G252" s="61">
        <v>3</v>
      </c>
      <c r="H252" s="62" t="s">
        <v>471</v>
      </c>
      <c r="I252" s="63" t="s">
        <v>259</v>
      </c>
      <c r="J252" s="71"/>
      <c r="K252" s="93"/>
      <c r="L252" s="135"/>
      <c r="M252" s="82"/>
      <c r="N252" s="135">
        <v>2563.3000000000002</v>
      </c>
      <c r="O252" s="82">
        <v>1000</v>
      </c>
      <c r="P252" s="135">
        <v>5000</v>
      </c>
      <c r="Q252" s="135"/>
      <c r="R252" s="82"/>
      <c r="S252" s="65">
        <f t="shared" ref="S252:S257" si="55">SUM(J252:R252)</f>
        <v>8563.2999999999993</v>
      </c>
      <c r="T252" s="67">
        <v>2022</v>
      </c>
    </row>
    <row r="253" spans="1:22" ht="15" x14ac:dyDescent="0.2">
      <c r="A253" s="61" t="s">
        <v>328</v>
      </c>
      <c r="B253" s="61">
        <v>1</v>
      </c>
      <c r="C253" s="61">
        <v>2</v>
      </c>
      <c r="D253" s="61">
        <v>2</v>
      </c>
      <c r="E253" s="61">
        <v>1</v>
      </c>
      <c r="F253" s="61">
        <v>4</v>
      </c>
      <c r="G253" s="61"/>
      <c r="H253" s="62" t="s">
        <v>102</v>
      </c>
      <c r="I253" s="63" t="s">
        <v>260</v>
      </c>
      <c r="J253" s="71"/>
      <c r="K253" s="93"/>
      <c r="L253" s="135"/>
      <c r="M253" s="82"/>
      <c r="N253" s="135">
        <v>1</v>
      </c>
      <c r="O253" s="82"/>
      <c r="P253" s="135"/>
      <c r="Q253" s="135"/>
      <c r="R253" s="82"/>
      <c r="S253" s="65">
        <f t="shared" si="55"/>
        <v>1</v>
      </c>
      <c r="T253" s="67">
        <v>2020</v>
      </c>
    </row>
    <row r="254" spans="1:22" ht="30" x14ac:dyDescent="0.2">
      <c r="A254" s="61" t="s">
        <v>328</v>
      </c>
      <c r="B254" s="61">
        <v>1</v>
      </c>
      <c r="C254" s="61">
        <v>2</v>
      </c>
      <c r="D254" s="61">
        <v>2</v>
      </c>
      <c r="E254" s="61">
        <v>1</v>
      </c>
      <c r="F254" s="61">
        <v>4</v>
      </c>
      <c r="G254" s="61"/>
      <c r="H254" s="62" t="s">
        <v>472</v>
      </c>
      <c r="I254" s="63" t="s">
        <v>258</v>
      </c>
      <c r="J254" s="71"/>
      <c r="K254" s="93"/>
      <c r="L254" s="135"/>
      <c r="M254" s="82"/>
      <c r="N254" s="135"/>
      <c r="O254" s="82">
        <v>1016.7</v>
      </c>
      <c r="P254" s="135">
        <v>1016.7</v>
      </c>
      <c r="Q254" s="135"/>
      <c r="R254" s="82"/>
      <c r="S254" s="65">
        <f t="shared" si="55"/>
        <v>2033.4</v>
      </c>
      <c r="T254" s="67">
        <v>2022</v>
      </c>
    </row>
    <row r="255" spans="1:22" ht="30" x14ac:dyDescent="0.2">
      <c r="A255" s="61" t="s">
        <v>328</v>
      </c>
      <c r="B255" s="61">
        <v>1</v>
      </c>
      <c r="C255" s="61">
        <v>2</v>
      </c>
      <c r="D255" s="61">
        <v>2</v>
      </c>
      <c r="E255" s="61">
        <v>1</v>
      </c>
      <c r="F255" s="61">
        <v>5</v>
      </c>
      <c r="G255" s="61">
        <v>3</v>
      </c>
      <c r="H255" s="62" t="s">
        <v>473</v>
      </c>
      <c r="I255" s="63" t="s">
        <v>259</v>
      </c>
      <c r="J255" s="71"/>
      <c r="K255" s="93"/>
      <c r="L255" s="135"/>
      <c r="M255" s="82"/>
      <c r="N255" s="135"/>
      <c r="O255" s="82">
        <v>1300</v>
      </c>
      <c r="P255" s="135"/>
      <c r="Q255" s="135">
        <v>10000</v>
      </c>
      <c r="R255" s="82">
        <v>50000</v>
      </c>
      <c r="S255" s="65">
        <f t="shared" si="55"/>
        <v>61300</v>
      </c>
      <c r="T255" s="67">
        <v>2024</v>
      </c>
    </row>
    <row r="256" spans="1:22" ht="15" x14ac:dyDescent="0.2">
      <c r="A256" s="61" t="s">
        <v>328</v>
      </c>
      <c r="B256" s="61">
        <v>1</v>
      </c>
      <c r="C256" s="61">
        <v>2</v>
      </c>
      <c r="D256" s="61">
        <v>2</v>
      </c>
      <c r="E256" s="61">
        <v>1</v>
      </c>
      <c r="F256" s="61">
        <v>5</v>
      </c>
      <c r="G256" s="61"/>
      <c r="H256" s="62" t="s">
        <v>102</v>
      </c>
      <c r="I256" s="63" t="s">
        <v>260</v>
      </c>
      <c r="J256" s="71"/>
      <c r="K256" s="93"/>
      <c r="L256" s="135"/>
      <c r="M256" s="82"/>
      <c r="N256" s="135"/>
      <c r="O256" s="82">
        <v>1</v>
      </c>
      <c r="P256" s="135"/>
      <c r="Q256" s="135"/>
      <c r="R256" s="82"/>
      <c r="S256" s="65">
        <f t="shared" si="55"/>
        <v>1</v>
      </c>
      <c r="T256" s="67">
        <v>2021</v>
      </c>
    </row>
    <row r="257" spans="1:26" ht="30" x14ac:dyDescent="0.2">
      <c r="A257" s="61" t="s">
        <v>328</v>
      </c>
      <c r="B257" s="61">
        <v>1</v>
      </c>
      <c r="C257" s="61">
        <v>2</v>
      </c>
      <c r="D257" s="61">
        <v>2</v>
      </c>
      <c r="E257" s="61">
        <v>1</v>
      </c>
      <c r="F257" s="61">
        <v>5</v>
      </c>
      <c r="G257" s="61"/>
      <c r="H257" s="62" t="s">
        <v>472</v>
      </c>
      <c r="I257" s="63" t="s">
        <v>220</v>
      </c>
      <c r="J257" s="71"/>
      <c r="K257" s="93"/>
      <c r="L257" s="135"/>
      <c r="M257" s="82"/>
      <c r="N257" s="135"/>
      <c r="O257" s="82"/>
      <c r="P257" s="135"/>
      <c r="Q257" s="82">
        <v>6.2510000000000003</v>
      </c>
      <c r="R257" s="82">
        <v>6.2510000000000003</v>
      </c>
      <c r="S257" s="65">
        <f t="shared" si="55"/>
        <v>12.502000000000001</v>
      </c>
      <c r="T257" s="67">
        <v>2024</v>
      </c>
    </row>
    <row r="258" spans="1:26" ht="14.25" x14ac:dyDescent="0.2">
      <c r="A258" s="84" t="s">
        <v>328</v>
      </c>
      <c r="B258" s="84">
        <v>1</v>
      </c>
      <c r="C258" s="84">
        <v>3</v>
      </c>
      <c r="D258" s="84">
        <v>0</v>
      </c>
      <c r="E258" s="84">
        <v>0</v>
      </c>
      <c r="F258" s="84">
        <v>0</v>
      </c>
      <c r="G258" s="84"/>
      <c r="H258" s="85" t="s">
        <v>64</v>
      </c>
      <c r="I258" s="86" t="s">
        <v>259</v>
      </c>
      <c r="J258" s="96">
        <f t="shared" ref="J258:S258" si="56">J259</f>
        <v>1105.6000000000001</v>
      </c>
      <c r="K258" s="96">
        <f t="shared" si="56"/>
        <v>7621</v>
      </c>
      <c r="L258" s="96">
        <f t="shared" si="56"/>
        <v>386.1</v>
      </c>
      <c r="M258" s="96">
        <f t="shared" si="56"/>
        <v>706.9</v>
      </c>
      <c r="N258" s="96">
        <f t="shared" si="56"/>
        <v>3183.5</v>
      </c>
      <c r="O258" s="96">
        <f t="shared" si="56"/>
        <v>5000</v>
      </c>
      <c r="P258" s="96">
        <f t="shared" si="56"/>
        <v>5800</v>
      </c>
      <c r="Q258" s="96">
        <f t="shared" si="56"/>
        <v>5800</v>
      </c>
      <c r="R258" s="96">
        <f t="shared" si="56"/>
        <v>5800</v>
      </c>
      <c r="S258" s="96">
        <f t="shared" si="56"/>
        <v>35403.1</v>
      </c>
      <c r="T258" s="88">
        <v>2024</v>
      </c>
      <c r="Y258" s="90"/>
    </row>
    <row r="259" spans="1:26" ht="15" x14ac:dyDescent="0.2">
      <c r="A259" s="61" t="s">
        <v>328</v>
      </c>
      <c r="B259" s="61">
        <v>1</v>
      </c>
      <c r="C259" s="61">
        <v>3</v>
      </c>
      <c r="D259" s="61">
        <v>0</v>
      </c>
      <c r="E259" s="61">
        <v>0</v>
      </c>
      <c r="F259" s="61">
        <v>0</v>
      </c>
      <c r="G259" s="61">
        <v>3</v>
      </c>
      <c r="H259" s="62" t="s">
        <v>229</v>
      </c>
      <c r="I259" s="63" t="s">
        <v>259</v>
      </c>
      <c r="J259" s="71">
        <f>J261+J298</f>
        <v>1105.6000000000001</v>
      </c>
      <c r="K259" s="71">
        <f t="shared" ref="K259:R259" si="57">K261+K298</f>
        <v>7621</v>
      </c>
      <c r="L259" s="71">
        <f t="shared" si="57"/>
        <v>386.1</v>
      </c>
      <c r="M259" s="71">
        <f t="shared" si="57"/>
        <v>706.9</v>
      </c>
      <c r="N259" s="71">
        <f t="shared" si="57"/>
        <v>3183.5</v>
      </c>
      <c r="O259" s="71">
        <f>O261+O298</f>
        <v>5000</v>
      </c>
      <c r="P259" s="71">
        <f t="shared" si="57"/>
        <v>5800</v>
      </c>
      <c r="Q259" s="71">
        <f t="shared" si="57"/>
        <v>5800</v>
      </c>
      <c r="R259" s="71">
        <f t="shared" si="57"/>
        <v>5800</v>
      </c>
      <c r="S259" s="66">
        <f>SUM(J259:R259)</f>
        <v>35403.1</v>
      </c>
      <c r="T259" s="67">
        <v>2024</v>
      </c>
    </row>
    <row r="260" spans="1:26" ht="30" x14ac:dyDescent="0.2">
      <c r="A260" s="61" t="s">
        <v>328</v>
      </c>
      <c r="B260" s="61">
        <v>1</v>
      </c>
      <c r="C260" s="61">
        <v>3</v>
      </c>
      <c r="D260" s="61">
        <v>1</v>
      </c>
      <c r="E260" s="61">
        <v>0</v>
      </c>
      <c r="F260" s="61">
        <v>0</v>
      </c>
      <c r="G260" s="61"/>
      <c r="H260" s="62" t="s">
        <v>321</v>
      </c>
      <c r="I260" s="63" t="s">
        <v>259</v>
      </c>
      <c r="J260" s="66">
        <f>J261</f>
        <v>1105.6000000000001</v>
      </c>
      <c r="K260" s="66">
        <f t="shared" ref="K260:R260" si="58">K261</f>
        <v>7621</v>
      </c>
      <c r="L260" s="66">
        <f t="shared" si="58"/>
        <v>386.1</v>
      </c>
      <c r="M260" s="66">
        <f t="shared" si="58"/>
        <v>706.9</v>
      </c>
      <c r="N260" s="66">
        <f t="shared" si="58"/>
        <v>1409.8</v>
      </c>
      <c r="O260" s="66">
        <f t="shared" si="58"/>
        <v>2200</v>
      </c>
      <c r="P260" s="66">
        <f t="shared" si="58"/>
        <v>3000</v>
      </c>
      <c r="Q260" s="66">
        <f t="shared" si="58"/>
        <v>3000</v>
      </c>
      <c r="R260" s="66">
        <f t="shared" si="58"/>
        <v>3000</v>
      </c>
      <c r="S260" s="66">
        <f>SUM(J260:R260)</f>
        <v>22429.4</v>
      </c>
      <c r="T260" s="67">
        <v>2024</v>
      </c>
      <c r="Z260" s="90"/>
    </row>
    <row r="261" spans="1:26" ht="15" x14ac:dyDescent="0.2">
      <c r="A261" s="61" t="s">
        <v>328</v>
      </c>
      <c r="B261" s="61">
        <v>1</v>
      </c>
      <c r="C261" s="61">
        <v>3</v>
      </c>
      <c r="D261" s="61">
        <v>1</v>
      </c>
      <c r="E261" s="61">
        <v>0</v>
      </c>
      <c r="F261" s="61">
        <v>0</v>
      </c>
      <c r="G261" s="61">
        <v>3</v>
      </c>
      <c r="H261" s="62" t="s">
        <v>229</v>
      </c>
      <c r="I261" s="63" t="s">
        <v>259</v>
      </c>
      <c r="J261" s="66">
        <f t="shared" ref="J261:O261" si="59">J264+J266</f>
        <v>1105.6000000000001</v>
      </c>
      <c r="K261" s="66">
        <f t="shared" si="59"/>
        <v>7621</v>
      </c>
      <c r="L261" s="66">
        <f t="shared" si="59"/>
        <v>386.1</v>
      </c>
      <c r="M261" s="66">
        <f>M264+M266</f>
        <v>706.9</v>
      </c>
      <c r="N261" s="66">
        <f t="shared" si="59"/>
        <v>1409.8</v>
      </c>
      <c r="O261" s="66">
        <f t="shared" si="59"/>
        <v>2200</v>
      </c>
      <c r="P261" s="66">
        <f>P264+P266</f>
        <v>3000</v>
      </c>
      <c r="Q261" s="66">
        <f>Q264+Q266</f>
        <v>3000</v>
      </c>
      <c r="R261" s="66">
        <f>R264+R266</f>
        <v>3000</v>
      </c>
      <c r="S261" s="66">
        <f>SUM(J261:R261)</f>
        <v>22429.4</v>
      </c>
      <c r="T261" s="67">
        <v>2024</v>
      </c>
    </row>
    <row r="262" spans="1:26" ht="30" x14ac:dyDescent="0.2">
      <c r="A262" s="61" t="s">
        <v>328</v>
      </c>
      <c r="B262" s="61">
        <v>1</v>
      </c>
      <c r="C262" s="61">
        <v>3</v>
      </c>
      <c r="D262" s="61">
        <v>1</v>
      </c>
      <c r="E262" s="61">
        <v>0</v>
      </c>
      <c r="F262" s="61">
        <v>0</v>
      </c>
      <c r="G262" s="61"/>
      <c r="H262" s="62" t="s">
        <v>79</v>
      </c>
      <c r="I262" s="63" t="s">
        <v>261</v>
      </c>
      <c r="J262" s="70">
        <f>расчет_показ!E97</f>
        <v>22.169811320754718</v>
      </c>
      <c r="K262" s="70">
        <f>расчет_показ!F97</f>
        <v>4.716981132075472</v>
      </c>
      <c r="L262" s="70">
        <f>расчет_показ!G97</f>
        <v>4.8543689320388346</v>
      </c>
      <c r="M262" s="70">
        <f>расчет_показ!H97</f>
        <v>4.3689320388349513</v>
      </c>
      <c r="N262" s="70">
        <f>расчет_показ!I97</f>
        <v>3.8834951456310676</v>
      </c>
      <c r="O262" s="70">
        <f>расчет_показ!J97</f>
        <v>3.3980582524271843</v>
      </c>
      <c r="P262" s="70">
        <f>расчет_показ!K97</f>
        <v>2.912621359223301</v>
      </c>
      <c r="Q262" s="70">
        <f>расчет_показ!L97</f>
        <v>2.4271844660194173</v>
      </c>
      <c r="R262" s="70">
        <f>расчет_показ!M97</f>
        <v>1.9417475728155338</v>
      </c>
      <c r="S262" s="71">
        <f>R262</f>
        <v>1.9417475728155338</v>
      </c>
      <c r="T262" s="67">
        <v>2024</v>
      </c>
    </row>
    <row r="263" spans="1:26" ht="30" x14ac:dyDescent="0.2">
      <c r="A263" s="61" t="s">
        <v>328</v>
      </c>
      <c r="B263" s="61">
        <v>1</v>
      </c>
      <c r="C263" s="61">
        <v>3</v>
      </c>
      <c r="D263" s="61">
        <v>1</v>
      </c>
      <c r="E263" s="61">
        <v>0</v>
      </c>
      <c r="F263" s="61">
        <v>0</v>
      </c>
      <c r="G263" s="61"/>
      <c r="H263" s="62" t="s">
        <v>300</v>
      </c>
      <c r="I263" s="63" t="s">
        <v>261</v>
      </c>
      <c r="J263" s="70">
        <f>расчет_показ!E100</f>
        <v>16.666666666666664</v>
      </c>
      <c r="K263" s="70">
        <f>расчет_показ!F100</f>
        <v>100</v>
      </c>
      <c r="L263" s="70">
        <f>расчет_показ!G100</f>
        <v>100</v>
      </c>
      <c r="M263" s="70">
        <f>расчет_показ!H100</f>
        <v>100</v>
      </c>
      <c r="N263" s="70">
        <f>расчет_показ!I100</f>
        <v>100</v>
      </c>
      <c r="O263" s="70">
        <f>расчет_показ!J100</f>
        <v>100</v>
      </c>
      <c r="P263" s="70">
        <f>расчет_показ!K100</f>
        <v>100</v>
      </c>
      <c r="Q263" s="70">
        <f>расчет_показ!L100</f>
        <v>100</v>
      </c>
      <c r="R263" s="70">
        <f>расчет_показ!M100</f>
        <v>100</v>
      </c>
      <c r="S263" s="93">
        <f>R263</f>
        <v>100</v>
      </c>
      <c r="T263" s="67">
        <v>2024</v>
      </c>
    </row>
    <row r="264" spans="1:26" ht="30" x14ac:dyDescent="0.2">
      <c r="A264" s="61" t="s">
        <v>328</v>
      </c>
      <c r="B264" s="61">
        <v>1</v>
      </c>
      <c r="C264" s="61">
        <v>3</v>
      </c>
      <c r="D264" s="61">
        <v>1</v>
      </c>
      <c r="E264" s="61">
        <v>0</v>
      </c>
      <c r="F264" s="61">
        <v>1</v>
      </c>
      <c r="G264" s="61">
        <v>3</v>
      </c>
      <c r="H264" s="62" t="s">
        <v>66</v>
      </c>
      <c r="I264" s="63" t="s">
        <v>259</v>
      </c>
      <c r="J264" s="71">
        <v>0</v>
      </c>
      <c r="K264" s="71">
        <v>1800</v>
      </c>
      <c r="L264" s="71">
        <v>0</v>
      </c>
      <c r="M264" s="92">
        <v>0</v>
      </c>
      <c r="N264" s="92">
        <v>0</v>
      </c>
      <c r="O264" s="92">
        <v>0</v>
      </c>
      <c r="P264" s="92">
        <v>0</v>
      </c>
      <c r="Q264" s="92">
        <v>0</v>
      </c>
      <c r="R264" s="92">
        <v>0</v>
      </c>
      <c r="S264" s="66">
        <f>SUM(J264:O264)</f>
        <v>1800</v>
      </c>
      <c r="T264" s="67">
        <v>2017</v>
      </c>
    </row>
    <row r="265" spans="1:26" ht="15" x14ac:dyDescent="0.2">
      <c r="A265" s="61" t="s">
        <v>328</v>
      </c>
      <c r="B265" s="61">
        <v>1</v>
      </c>
      <c r="C265" s="61">
        <v>3</v>
      </c>
      <c r="D265" s="61">
        <v>1</v>
      </c>
      <c r="E265" s="61">
        <v>0</v>
      </c>
      <c r="F265" s="61">
        <v>1</v>
      </c>
      <c r="G265" s="61"/>
      <c r="H265" s="62" t="s">
        <v>231</v>
      </c>
      <c r="I265" s="63" t="s">
        <v>385</v>
      </c>
      <c r="J265" s="70"/>
      <c r="K265" s="67">
        <v>1</v>
      </c>
      <c r="L265" s="66"/>
      <c r="M265" s="70"/>
      <c r="N265" s="70"/>
      <c r="O265" s="70"/>
      <c r="P265" s="70"/>
      <c r="Q265" s="70"/>
      <c r="R265" s="70"/>
      <c r="S265" s="66">
        <f>SUM(J265:O265)</f>
        <v>1</v>
      </c>
      <c r="T265" s="67">
        <v>2017</v>
      </c>
    </row>
    <row r="266" spans="1:26" ht="30" x14ac:dyDescent="0.2">
      <c r="A266" s="61" t="s">
        <v>328</v>
      </c>
      <c r="B266" s="61">
        <v>1</v>
      </c>
      <c r="C266" s="61">
        <v>3</v>
      </c>
      <c r="D266" s="61">
        <v>1</v>
      </c>
      <c r="E266" s="61">
        <v>0</v>
      </c>
      <c r="F266" s="61">
        <v>2</v>
      </c>
      <c r="G266" s="61">
        <v>3</v>
      </c>
      <c r="H266" s="62" t="s">
        <v>238</v>
      </c>
      <c r="I266" s="63" t="s">
        <v>259</v>
      </c>
      <c r="J266" s="71">
        <f>200+834.9+100+71.2+0.1-100.6-0.1+0.1</f>
        <v>1105.6000000000001</v>
      </c>
      <c r="K266" s="71">
        <f>33649.5-2350+(-15566.3)-0.1-10380.1+99.4+33.6+334.9+0.1</f>
        <v>5821</v>
      </c>
      <c r="L266" s="71">
        <v>386.1</v>
      </c>
      <c r="M266" s="71">
        <v>706.9</v>
      </c>
      <c r="N266" s="71">
        <v>1409.8</v>
      </c>
      <c r="O266" s="71">
        <v>2200</v>
      </c>
      <c r="P266" s="71">
        <v>3000</v>
      </c>
      <c r="Q266" s="71">
        <v>3000</v>
      </c>
      <c r="R266" s="71">
        <v>3000</v>
      </c>
      <c r="S266" s="66">
        <f>SUM(J266:R266)</f>
        <v>20629.400000000001</v>
      </c>
      <c r="T266" s="67">
        <v>2024</v>
      </c>
    </row>
    <row r="267" spans="1:26" ht="15" x14ac:dyDescent="0.2">
      <c r="A267" s="61" t="s">
        <v>328</v>
      </c>
      <c r="B267" s="61">
        <v>1</v>
      </c>
      <c r="C267" s="61">
        <v>3</v>
      </c>
      <c r="D267" s="61">
        <v>1</v>
      </c>
      <c r="E267" s="61">
        <v>0</v>
      </c>
      <c r="F267" s="61">
        <v>2</v>
      </c>
      <c r="G267" s="61"/>
      <c r="H267" s="62" t="s">
        <v>97</v>
      </c>
      <c r="I267" s="63" t="s">
        <v>260</v>
      </c>
      <c r="J267" s="95">
        <v>4</v>
      </c>
      <c r="K267" s="95">
        <v>2</v>
      </c>
      <c r="L267" s="95">
        <v>0</v>
      </c>
      <c r="M267" s="95">
        <v>1</v>
      </c>
      <c r="N267" s="95">
        <v>4</v>
      </c>
      <c r="O267" s="95">
        <v>2</v>
      </c>
      <c r="P267" s="95">
        <v>2</v>
      </c>
      <c r="Q267" s="95">
        <v>2</v>
      </c>
      <c r="R267" s="95">
        <v>2</v>
      </c>
      <c r="S267" s="95">
        <f>SUM(J267:O267)</f>
        <v>13</v>
      </c>
      <c r="T267" s="67">
        <v>2024</v>
      </c>
    </row>
    <row r="268" spans="1:26" ht="30" x14ac:dyDescent="0.2">
      <c r="A268" s="61" t="s">
        <v>328</v>
      </c>
      <c r="B268" s="61">
        <v>1</v>
      </c>
      <c r="C268" s="61">
        <v>3</v>
      </c>
      <c r="D268" s="61">
        <v>1</v>
      </c>
      <c r="E268" s="61">
        <v>0</v>
      </c>
      <c r="F268" s="61">
        <v>2</v>
      </c>
      <c r="G268" s="61"/>
      <c r="H268" s="62" t="s">
        <v>1</v>
      </c>
      <c r="I268" s="63" t="s">
        <v>260</v>
      </c>
      <c r="J268" s="95"/>
      <c r="K268" s="95"/>
      <c r="L268" s="95">
        <v>1</v>
      </c>
      <c r="M268" s="95">
        <v>1</v>
      </c>
      <c r="N268" s="95"/>
      <c r="O268" s="95"/>
      <c r="P268" s="95"/>
      <c r="Q268" s="95"/>
      <c r="R268" s="95"/>
      <c r="S268" s="95">
        <v>1</v>
      </c>
      <c r="T268" s="67">
        <v>2019</v>
      </c>
    </row>
    <row r="269" spans="1:26" ht="15" x14ac:dyDescent="0.2">
      <c r="A269" s="61" t="s">
        <v>328</v>
      </c>
      <c r="B269" s="61">
        <v>1</v>
      </c>
      <c r="C269" s="61">
        <v>3</v>
      </c>
      <c r="D269" s="61">
        <v>2</v>
      </c>
      <c r="E269" s="61">
        <v>0</v>
      </c>
      <c r="F269" s="61">
        <v>0</v>
      </c>
      <c r="G269" s="61"/>
      <c r="H269" s="62" t="s">
        <v>63</v>
      </c>
      <c r="I269" s="61" t="s">
        <v>248</v>
      </c>
      <c r="J269" s="66" t="s">
        <v>262</v>
      </c>
      <c r="K269" s="66" t="s">
        <v>262</v>
      </c>
      <c r="L269" s="66" t="s">
        <v>262</v>
      </c>
      <c r="M269" s="66" t="s">
        <v>262</v>
      </c>
      <c r="N269" s="66" t="s">
        <v>262</v>
      </c>
      <c r="O269" s="66" t="s">
        <v>262</v>
      </c>
      <c r="P269" s="66" t="s">
        <v>262</v>
      </c>
      <c r="Q269" s="66" t="s">
        <v>262</v>
      </c>
      <c r="R269" s="66" t="s">
        <v>262</v>
      </c>
      <c r="S269" s="66" t="s">
        <v>262</v>
      </c>
      <c r="T269" s="67">
        <v>2024</v>
      </c>
    </row>
    <row r="270" spans="1:26" ht="30" x14ac:dyDescent="0.2">
      <c r="A270" s="61" t="s">
        <v>328</v>
      </c>
      <c r="B270" s="61">
        <v>1</v>
      </c>
      <c r="C270" s="61">
        <v>3</v>
      </c>
      <c r="D270" s="61">
        <v>2</v>
      </c>
      <c r="E270" s="61">
        <v>0</v>
      </c>
      <c r="F270" s="61">
        <v>0</v>
      </c>
      <c r="G270" s="61"/>
      <c r="H270" s="62" t="s">
        <v>98</v>
      </c>
      <c r="I270" s="63" t="s">
        <v>258</v>
      </c>
      <c r="J270" s="93">
        <f>расчет_показ!E103</f>
        <v>0.19954307636767266</v>
      </c>
      <c r="K270" s="93">
        <f>расчет_показ!F103</f>
        <v>0.24294331237806199</v>
      </c>
      <c r="L270" s="93">
        <f>расчет_показ!G103</f>
        <v>0.31864415993911221</v>
      </c>
      <c r="M270" s="93">
        <f>расчет_показ!H103</f>
        <v>0.37443529026625927</v>
      </c>
      <c r="N270" s="93">
        <f>расчет_показ!I103</f>
        <v>0.39978977565120272</v>
      </c>
      <c r="O270" s="93">
        <f>расчет_показ!J103</f>
        <v>0.49393857817822218</v>
      </c>
      <c r="P270" s="93">
        <f>расчет_показ!K103</f>
        <v>0.36321537909920842</v>
      </c>
      <c r="Q270" s="93">
        <f>расчет_показ!L103</f>
        <v>0.31379262583451067</v>
      </c>
      <c r="R270" s="93">
        <f>расчет_показ!M103</f>
        <v>0.33781166518254674</v>
      </c>
      <c r="S270" s="93">
        <f>R270</f>
        <v>0.33781166518254674</v>
      </c>
      <c r="T270" s="67">
        <v>2024</v>
      </c>
    </row>
    <row r="271" spans="1:26" ht="30" x14ac:dyDescent="0.2">
      <c r="A271" s="61" t="s">
        <v>328</v>
      </c>
      <c r="B271" s="61">
        <v>1</v>
      </c>
      <c r="C271" s="61">
        <v>3</v>
      </c>
      <c r="D271" s="61">
        <v>2</v>
      </c>
      <c r="E271" s="61">
        <v>0</v>
      </c>
      <c r="F271" s="61">
        <v>0</v>
      </c>
      <c r="G271" s="61"/>
      <c r="H271" s="62" t="s">
        <v>2</v>
      </c>
      <c r="I271" s="63" t="s">
        <v>217</v>
      </c>
      <c r="J271" s="131">
        <f>расчет_показ!E106</f>
        <v>1.0776500762437429</v>
      </c>
      <c r="K271" s="131">
        <f>расчет_показ!F106</f>
        <v>2.4929546932581834</v>
      </c>
      <c r="L271" s="131">
        <f>расчет_показ!G106</f>
        <v>0.97855337193182745</v>
      </c>
      <c r="M271" s="131">
        <f>расчет_показ!H106</f>
        <v>1.0912265386294195</v>
      </c>
      <c r="N271" s="131">
        <f>расчет_показ!I106</f>
        <v>1.2591562558167546</v>
      </c>
      <c r="O271" s="131">
        <f>расчет_показ!J106</f>
        <v>1.1103175475222504</v>
      </c>
      <c r="P271" s="131">
        <f>расчет_показ!K106</f>
        <v>1.1032352373334804</v>
      </c>
      <c r="Q271" s="131">
        <f>расчет_показ!L106</f>
        <v>1.1080639352890662</v>
      </c>
      <c r="R271" s="131">
        <f>расчет_показ!M106</f>
        <v>1.1130899376669634</v>
      </c>
      <c r="S271" s="110">
        <f>R271</f>
        <v>1.1130899376669634</v>
      </c>
      <c r="T271" s="67">
        <v>2024</v>
      </c>
    </row>
    <row r="272" spans="1:26" ht="30" x14ac:dyDescent="0.2">
      <c r="A272" s="61" t="s">
        <v>328</v>
      </c>
      <c r="B272" s="61">
        <v>1</v>
      </c>
      <c r="C272" s="61">
        <v>3</v>
      </c>
      <c r="D272" s="61">
        <v>2</v>
      </c>
      <c r="E272" s="61">
        <v>0</v>
      </c>
      <c r="F272" s="61">
        <v>1</v>
      </c>
      <c r="G272" s="61"/>
      <c r="H272" s="62" t="s">
        <v>50</v>
      </c>
      <c r="I272" s="61" t="s">
        <v>248</v>
      </c>
      <c r="J272" s="138" t="s">
        <v>262</v>
      </c>
      <c r="K272" s="138" t="s">
        <v>262</v>
      </c>
      <c r="L272" s="138" t="s">
        <v>89</v>
      </c>
      <c r="M272" s="138" t="s">
        <v>89</v>
      </c>
      <c r="N272" s="138" t="s">
        <v>262</v>
      </c>
      <c r="O272" s="138" t="s">
        <v>262</v>
      </c>
      <c r="P272" s="138" t="s">
        <v>262</v>
      </c>
      <c r="Q272" s="138" t="s">
        <v>262</v>
      </c>
      <c r="R272" s="138" t="s">
        <v>262</v>
      </c>
      <c r="S272" s="66" t="s">
        <v>262</v>
      </c>
      <c r="T272" s="67">
        <v>2024</v>
      </c>
    </row>
    <row r="273" spans="1:20" ht="30" x14ac:dyDescent="0.2">
      <c r="A273" s="61" t="s">
        <v>328</v>
      </c>
      <c r="B273" s="61">
        <v>1</v>
      </c>
      <c r="C273" s="61">
        <v>3</v>
      </c>
      <c r="D273" s="61">
        <v>2</v>
      </c>
      <c r="E273" s="61">
        <v>0</v>
      </c>
      <c r="F273" s="61">
        <v>1</v>
      </c>
      <c r="G273" s="61"/>
      <c r="H273" s="62" t="s">
        <v>3</v>
      </c>
      <c r="I273" s="78" t="s">
        <v>260</v>
      </c>
      <c r="J273" s="64">
        <v>1</v>
      </c>
      <c r="K273" s="64">
        <v>1</v>
      </c>
      <c r="L273" s="95">
        <v>0</v>
      </c>
      <c r="M273" s="95">
        <v>0</v>
      </c>
      <c r="N273" s="95">
        <v>1</v>
      </c>
      <c r="O273" s="95">
        <v>1</v>
      </c>
      <c r="P273" s="95">
        <v>1</v>
      </c>
      <c r="Q273" s="95">
        <v>1</v>
      </c>
      <c r="R273" s="95">
        <v>1</v>
      </c>
      <c r="S273" s="130">
        <f>SUM(J273:O273)</f>
        <v>4</v>
      </c>
      <c r="T273" s="67">
        <v>2024</v>
      </c>
    </row>
    <row r="274" spans="1:20" ht="30" x14ac:dyDescent="0.2">
      <c r="A274" s="61" t="s">
        <v>328</v>
      </c>
      <c r="B274" s="61">
        <v>1</v>
      </c>
      <c r="C274" s="61">
        <v>3</v>
      </c>
      <c r="D274" s="61">
        <v>2</v>
      </c>
      <c r="E274" s="61">
        <v>0</v>
      </c>
      <c r="F274" s="61">
        <v>2</v>
      </c>
      <c r="G274" s="61"/>
      <c r="H274" s="62" t="s">
        <v>4</v>
      </c>
      <c r="I274" s="139" t="s">
        <v>248</v>
      </c>
      <c r="J274" s="67" t="s">
        <v>262</v>
      </c>
      <c r="K274" s="67" t="s">
        <v>262</v>
      </c>
      <c r="L274" s="66" t="s">
        <v>262</v>
      </c>
      <c r="M274" s="67" t="s">
        <v>262</v>
      </c>
      <c r="N274" s="67" t="s">
        <v>262</v>
      </c>
      <c r="O274" s="67" t="s">
        <v>262</v>
      </c>
      <c r="P274" s="67" t="s">
        <v>262</v>
      </c>
      <c r="Q274" s="67" t="s">
        <v>262</v>
      </c>
      <c r="R274" s="67" t="s">
        <v>262</v>
      </c>
      <c r="S274" s="140" t="s">
        <v>262</v>
      </c>
      <c r="T274" s="67">
        <v>2024</v>
      </c>
    </row>
    <row r="275" spans="1:20" ht="30" x14ac:dyDescent="0.2">
      <c r="A275" s="61" t="s">
        <v>328</v>
      </c>
      <c r="B275" s="61">
        <v>1</v>
      </c>
      <c r="C275" s="61">
        <v>3</v>
      </c>
      <c r="D275" s="61">
        <v>2</v>
      </c>
      <c r="E275" s="61">
        <v>0</v>
      </c>
      <c r="F275" s="61">
        <v>2</v>
      </c>
      <c r="G275" s="61"/>
      <c r="H275" s="62" t="s">
        <v>409</v>
      </c>
      <c r="I275" s="78" t="s">
        <v>260</v>
      </c>
      <c r="J275" s="95">
        <v>500</v>
      </c>
      <c r="K275" s="95">
        <v>450</v>
      </c>
      <c r="L275" s="95">
        <v>530</v>
      </c>
      <c r="M275" s="95">
        <v>400</v>
      </c>
      <c r="N275" s="95">
        <v>450</v>
      </c>
      <c r="O275" s="95">
        <v>450</v>
      </c>
      <c r="P275" s="95">
        <v>450</v>
      </c>
      <c r="Q275" s="95">
        <v>450</v>
      </c>
      <c r="R275" s="95">
        <v>450</v>
      </c>
      <c r="S275" s="130">
        <f>SUM(J275:O275)</f>
        <v>2780</v>
      </c>
      <c r="T275" s="67">
        <v>2024</v>
      </c>
    </row>
    <row r="276" spans="1:20" ht="45" x14ac:dyDescent="0.2">
      <c r="A276" s="61" t="s">
        <v>328</v>
      </c>
      <c r="B276" s="61">
        <v>1</v>
      </c>
      <c r="C276" s="61">
        <v>3</v>
      </c>
      <c r="D276" s="61">
        <v>2</v>
      </c>
      <c r="E276" s="61">
        <v>0</v>
      </c>
      <c r="F276" s="61">
        <v>3</v>
      </c>
      <c r="G276" s="61"/>
      <c r="H276" s="62" t="s">
        <v>120</v>
      </c>
      <c r="I276" s="139" t="s">
        <v>248</v>
      </c>
      <c r="J276" s="67" t="s">
        <v>262</v>
      </c>
      <c r="K276" s="67" t="s">
        <v>262</v>
      </c>
      <c r="L276" s="66" t="s">
        <v>262</v>
      </c>
      <c r="M276" s="67" t="s">
        <v>262</v>
      </c>
      <c r="N276" s="67" t="s">
        <v>262</v>
      </c>
      <c r="O276" s="67" t="s">
        <v>262</v>
      </c>
      <c r="P276" s="67" t="s">
        <v>262</v>
      </c>
      <c r="Q276" s="67" t="s">
        <v>262</v>
      </c>
      <c r="R276" s="67" t="s">
        <v>262</v>
      </c>
      <c r="S276" s="140" t="s">
        <v>262</v>
      </c>
      <c r="T276" s="67">
        <v>2024</v>
      </c>
    </row>
    <row r="277" spans="1:20" ht="45" x14ac:dyDescent="0.2">
      <c r="A277" s="61" t="s">
        <v>328</v>
      </c>
      <c r="B277" s="61">
        <v>1</v>
      </c>
      <c r="C277" s="61">
        <v>3</v>
      </c>
      <c r="D277" s="61">
        <v>2</v>
      </c>
      <c r="E277" s="61">
        <v>0</v>
      </c>
      <c r="F277" s="61">
        <v>3</v>
      </c>
      <c r="G277" s="61"/>
      <c r="H277" s="62" t="s">
        <v>121</v>
      </c>
      <c r="I277" s="78" t="s">
        <v>260</v>
      </c>
      <c r="J277" s="95">
        <v>5</v>
      </c>
      <c r="K277" s="95">
        <v>18</v>
      </c>
      <c r="L277" s="95">
        <v>11</v>
      </c>
      <c r="M277" s="95">
        <v>15</v>
      </c>
      <c r="N277" s="95">
        <v>16</v>
      </c>
      <c r="O277" s="95">
        <v>20</v>
      </c>
      <c r="P277" s="95">
        <v>20</v>
      </c>
      <c r="Q277" s="95">
        <v>20</v>
      </c>
      <c r="R277" s="95">
        <v>20</v>
      </c>
      <c r="S277" s="130">
        <f>SUM(J277:O277)</f>
        <v>85</v>
      </c>
      <c r="T277" s="67">
        <v>2024</v>
      </c>
    </row>
    <row r="278" spans="1:20" ht="30" x14ac:dyDescent="0.2">
      <c r="A278" s="61" t="s">
        <v>328</v>
      </c>
      <c r="B278" s="61">
        <v>1</v>
      </c>
      <c r="C278" s="61">
        <v>3</v>
      </c>
      <c r="D278" s="61">
        <v>2</v>
      </c>
      <c r="E278" s="61">
        <v>0</v>
      </c>
      <c r="F278" s="61">
        <v>4</v>
      </c>
      <c r="G278" s="61"/>
      <c r="H278" s="62" t="s">
        <v>122</v>
      </c>
      <c r="I278" s="61" t="s">
        <v>248</v>
      </c>
      <c r="J278" s="67" t="s">
        <v>262</v>
      </c>
      <c r="K278" s="67" t="s">
        <v>262</v>
      </c>
      <c r="L278" s="66" t="s">
        <v>262</v>
      </c>
      <c r="M278" s="67" t="s">
        <v>262</v>
      </c>
      <c r="N278" s="67" t="s">
        <v>262</v>
      </c>
      <c r="O278" s="67" t="s">
        <v>262</v>
      </c>
      <c r="P278" s="67" t="s">
        <v>262</v>
      </c>
      <c r="Q278" s="67" t="s">
        <v>262</v>
      </c>
      <c r="R278" s="67" t="s">
        <v>262</v>
      </c>
      <c r="S278" s="66" t="s">
        <v>262</v>
      </c>
      <c r="T278" s="67">
        <v>2024</v>
      </c>
    </row>
    <row r="279" spans="1:20" ht="30" x14ac:dyDescent="0.2">
      <c r="A279" s="61" t="s">
        <v>328</v>
      </c>
      <c r="B279" s="61">
        <v>1</v>
      </c>
      <c r="C279" s="61">
        <v>3</v>
      </c>
      <c r="D279" s="61">
        <v>2</v>
      </c>
      <c r="E279" s="61">
        <v>0</v>
      </c>
      <c r="F279" s="61">
        <v>4</v>
      </c>
      <c r="G279" s="61"/>
      <c r="H279" s="62" t="s">
        <v>408</v>
      </c>
      <c r="I279" s="63" t="s">
        <v>260</v>
      </c>
      <c r="J279" s="64">
        <v>150</v>
      </c>
      <c r="K279" s="64">
        <v>63</v>
      </c>
      <c r="L279" s="95">
        <v>86</v>
      </c>
      <c r="M279" s="95">
        <v>55</v>
      </c>
      <c r="N279" s="95">
        <v>60</v>
      </c>
      <c r="O279" s="95">
        <v>60</v>
      </c>
      <c r="P279" s="95">
        <v>60</v>
      </c>
      <c r="Q279" s="95">
        <v>60</v>
      </c>
      <c r="R279" s="95">
        <v>60</v>
      </c>
      <c r="S279" s="95">
        <f>SUM(J279:O279)</f>
        <v>474</v>
      </c>
      <c r="T279" s="67">
        <v>2024</v>
      </c>
    </row>
    <row r="280" spans="1:20" ht="30" x14ac:dyDescent="0.2">
      <c r="A280" s="61" t="s">
        <v>328</v>
      </c>
      <c r="B280" s="61">
        <v>1</v>
      </c>
      <c r="C280" s="61">
        <v>3</v>
      </c>
      <c r="D280" s="61">
        <v>2</v>
      </c>
      <c r="E280" s="61">
        <v>0</v>
      </c>
      <c r="F280" s="61">
        <v>5</v>
      </c>
      <c r="G280" s="61"/>
      <c r="H280" s="62" t="s">
        <v>5</v>
      </c>
      <c r="I280" s="61" t="s">
        <v>248</v>
      </c>
      <c r="J280" s="67" t="s">
        <v>262</v>
      </c>
      <c r="K280" s="67" t="s">
        <v>262</v>
      </c>
      <c r="L280" s="66" t="s">
        <v>262</v>
      </c>
      <c r="M280" s="67" t="s">
        <v>89</v>
      </c>
      <c r="N280" s="67" t="s">
        <v>262</v>
      </c>
      <c r="O280" s="67" t="s">
        <v>262</v>
      </c>
      <c r="P280" s="67" t="s">
        <v>262</v>
      </c>
      <c r="Q280" s="67" t="s">
        <v>262</v>
      </c>
      <c r="R280" s="67" t="s">
        <v>262</v>
      </c>
      <c r="S280" s="66" t="s">
        <v>262</v>
      </c>
      <c r="T280" s="67">
        <v>2024</v>
      </c>
    </row>
    <row r="281" spans="1:20" ht="60" x14ac:dyDescent="0.2">
      <c r="A281" s="61" t="s">
        <v>328</v>
      </c>
      <c r="B281" s="61">
        <v>1</v>
      </c>
      <c r="C281" s="61">
        <v>3</v>
      </c>
      <c r="D281" s="61">
        <v>2</v>
      </c>
      <c r="E281" s="61">
        <v>0</v>
      </c>
      <c r="F281" s="61">
        <v>5</v>
      </c>
      <c r="G281" s="61"/>
      <c r="H281" s="62" t="s">
        <v>6</v>
      </c>
      <c r="I281" s="63" t="s">
        <v>260</v>
      </c>
      <c r="J281" s="95">
        <v>1</v>
      </c>
      <c r="K281" s="95">
        <v>4</v>
      </c>
      <c r="L281" s="95">
        <v>2</v>
      </c>
      <c r="M281" s="95">
        <v>0</v>
      </c>
      <c r="N281" s="95">
        <v>2</v>
      </c>
      <c r="O281" s="95">
        <v>5</v>
      </c>
      <c r="P281" s="95">
        <v>5</v>
      </c>
      <c r="Q281" s="95">
        <v>5</v>
      </c>
      <c r="R281" s="95">
        <v>5</v>
      </c>
      <c r="S281" s="95">
        <f>SUM(J281:O281)</f>
        <v>14</v>
      </c>
      <c r="T281" s="67">
        <v>2024</v>
      </c>
    </row>
    <row r="282" spans="1:20" ht="45" x14ac:dyDescent="0.2">
      <c r="A282" s="61" t="s">
        <v>328</v>
      </c>
      <c r="B282" s="61">
        <v>1</v>
      </c>
      <c r="C282" s="61">
        <v>3</v>
      </c>
      <c r="D282" s="61">
        <v>2</v>
      </c>
      <c r="E282" s="61">
        <v>0</v>
      </c>
      <c r="F282" s="61">
        <v>6</v>
      </c>
      <c r="G282" s="61"/>
      <c r="H282" s="62" t="s">
        <v>123</v>
      </c>
      <c r="I282" s="61" t="s">
        <v>248</v>
      </c>
      <c r="J282" s="67" t="s">
        <v>262</v>
      </c>
      <c r="K282" s="67" t="s">
        <v>262</v>
      </c>
      <c r="L282" s="66" t="s">
        <v>262</v>
      </c>
      <c r="M282" s="67" t="s">
        <v>262</v>
      </c>
      <c r="N282" s="67" t="s">
        <v>262</v>
      </c>
      <c r="O282" s="67" t="s">
        <v>262</v>
      </c>
      <c r="P282" s="67" t="s">
        <v>262</v>
      </c>
      <c r="Q282" s="67" t="s">
        <v>262</v>
      </c>
      <c r="R282" s="67" t="s">
        <v>262</v>
      </c>
      <c r="S282" s="66" t="s">
        <v>262</v>
      </c>
      <c r="T282" s="67">
        <v>2024</v>
      </c>
    </row>
    <row r="283" spans="1:20" ht="30" x14ac:dyDescent="0.2">
      <c r="A283" s="61" t="s">
        <v>328</v>
      </c>
      <c r="B283" s="61">
        <v>1</v>
      </c>
      <c r="C283" s="61">
        <v>3</v>
      </c>
      <c r="D283" s="61">
        <v>2</v>
      </c>
      <c r="E283" s="61">
        <v>0</v>
      </c>
      <c r="F283" s="61">
        <v>6</v>
      </c>
      <c r="G283" s="61"/>
      <c r="H283" s="62" t="s">
        <v>407</v>
      </c>
      <c r="I283" s="63" t="s">
        <v>260</v>
      </c>
      <c r="J283" s="95">
        <v>25</v>
      </c>
      <c r="K283" s="95">
        <v>45</v>
      </c>
      <c r="L283" s="95">
        <v>40</v>
      </c>
      <c r="M283" s="95">
        <v>50</v>
      </c>
      <c r="N283" s="95">
        <v>35</v>
      </c>
      <c r="O283" s="95">
        <v>40</v>
      </c>
      <c r="P283" s="95">
        <v>40</v>
      </c>
      <c r="Q283" s="95">
        <v>40</v>
      </c>
      <c r="R283" s="95">
        <v>40</v>
      </c>
      <c r="S283" s="95">
        <f>SUM(J283:O283)</f>
        <v>235</v>
      </c>
      <c r="T283" s="67">
        <v>2024</v>
      </c>
    </row>
    <row r="284" spans="1:20" ht="60" x14ac:dyDescent="0.2">
      <c r="A284" s="61" t="s">
        <v>328</v>
      </c>
      <c r="B284" s="61">
        <v>1</v>
      </c>
      <c r="C284" s="61">
        <v>3</v>
      </c>
      <c r="D284" s="61">
        <v>2</v>
      </c>
      <c r="E284" s="61">
        <v>0</v>
      </c>
      <c r="F284" s="61">
        <v>7</v>
      </c>
      <c r="G284" s="61"/>
      <c r="H284" s="62" t="s">
        <v>432</v>
      </c>
      <c r="I284" s="61" t="s">
        <v>248</v>
      </c>
      <c r="J284" s="67" t="s">
        <v>262</v>
      </c>
      <c r="K284" s="67" t="s">
        <v>262</v>
      </c>
      <c r="L284" s="66" t="s">
        <v>262</v>
      </c>
      <c r="M284" s="67" t="s">
        <v>89</v>
      </c>
      <c r="N284" s="67" t="s">
        <v>89</v>
      </c>
      <c r="O284" s="67" t="s">
        <v>89</v>
      </c>
      <c r="P284" s="67" t="s">
        <v>89</v>
      </c>
      <c r="Q284" s="67" t="s">
        <v>89</v>
      </c>
      <c r="R284" s="67" t="s">
        <v>89</v>
      </c>
      <c r="S284" s="66" t="s">
        <v>262</v>
      </c>
      <c r="T284" s="67">
        <v>2018</v>
      </c>
    </row>
    <row r="285" spans="1:20" ht="45" x14ac:dyDescent="0.2">
      <c r="A285" s="61" t="s">
        <v>328</v>
      </c>
      <c r="B285" s="61">
        <v>1</v>
      </c>
      <c r="C285" s="61">
        <v>3</v>
      </c>
      <c r="D285" s="61">
        <v>2</v>
      </c>
      <c r="E285" s="61">
        <v>0</v>
      </c>
      <c r="F285" s="61">
        <v>7</v>
      </c>
      <c r="G285" s="61"/>
      <c r="H285" s="62" t="s">
        <v>7</v>
      </c>
      <c r="I285" s="63" t="s">
        <v>260</v>
      </c>
      <c r="J285" s="95">
        <v>25</v>
      </c>
      <c r="K285" s="95">
        <v>25</v>
      </c>
      <c r="L285" s="95">
        <v>25</v>
      </c>
      <c r="M285" s="95">
        <v>0</v>
      </c>
      <c r="N285" s="95">
        <v>0</v>
      </c>
      <c r="O285" s="95">
        <v>0</v>
      </c>
      <c r="P285" s="95">
        <v>0</v>
      </c>
      <c r="Q285" s="95">
        <v>0</v>
      </c>
      <c r="R285" s="95">
        <v>0</v>
      </c>
      <c r="S285" s="95">
        <f>SUM(J285:O285)</f>
        <v>75</v>
      </c>
      <c r="T285" s="67">
        <v>2018</v>
      </c>
    </row>
    <row r="286" spans="1:20" ht="45" x14ac:dyDescent="0.2">
      <c r="A286" s="61" t="s">
        <v>328</v>
      </c>
      <c r="B286" s="61">
        <v>1</v>
      </c>
      <c r="C286" s="61">
        <v>3</v>
      </c>
      <c r="D286" s="61">
        <v>2</v>
      </c>
      <c r="E286" s="61">
        <v>0</v>
      </c>
      <c r="F286" s="61">
        <v>8</v>
      </c>
      <c r="G286" s="61"/>
      <c r="H286" s="62" t="s">
        <v>124</v>
      </c>
      <c r="I286" s="61" t="s">
        <v>248</v>
      </c>
      <c r="J286" s="67" t="s">
        <v>262</v>
      </c>
      <c r="K286" s="67" t="s">
        <v>262</v>
      </c>
      <c r="L286" s="66" t="s">
        <v>262</v>
      </c>
      <c r="M286" s="67" t="s">
        <v>262</v>
      </c>
      <c r="N286" s="67" t="s">
        <v>262</v>
      </c>
      <c r="O286" s="67" t="s">
        <v>262</v>
      </c>
      <c r="P286" s="67" t="s">
        <v>262</v>
      </c>
      <c r="Q286" s="67" t="s">
        <v>262</v>
      </c>
      <c r="R286" s="67" t="s">
        <v>262</v>
      </c>
      <c r="S286" s="66" t="s">
        <v>262</v>
      </c>
      <c r="T286" s="67">
        <v>2024</v>
      </c>
    </row>
    <row r="287" spans="1:20" ht="45" x14ac:dyDescent="0.2">
      <c r="A287" s="61" t="s">
        <v>328</v>
      </c>
      <c r="B287" s="61">
        <v>1</v>
      </c>
      <c r="C287" s="61">
        <v>3</v>
      </c>
      <c r="D287" s="61">
        <v>2</v>
      </c>
      <c r="E287" s="61">
        <v>0</v>
      </c>
      <c r="F287" s="61">
        <v>8</v>
      </c>
      <c r="G287" s="61"/>
      <c r="H287" s="62" t="s">
        <v>18</v>
      </c>
      <c r="I287" s="63" t="s">
        <v>260</v>
      </c>
      <c r="J287" s="64">
        <v>5</v>
      </c>
      <c r="K287" s="64">
        <v>12</v>
      </c>
      <c r="L287" s="95">
        <v>21</v>
      </c>
      <c r="M287" s="95">
        <v>10</v>
      </c>
      <c r="N287" s="95">
        <v>13</v>
      </c>
      <c r="O287" s="95">
        <v>10</v>
      </c>
      <c r="P287" s="95">
        <v>10</v>
      </c>
      <c r="Q287" s="95">
        <v>10</v>
      </c>
      <c r="R287" s="95">
        <v>10</v>
      </c>
      <c r="S287" s="95">
        <f>SUM(J287:O287)</f>
        <v>71</v>
      </c>
      <c r="T287" s="67">
        <v>2024</v>
      </c>
    </row>
    <row r="288" spans="1:20" ht="45" x14ac:dyDescent="0.2">
      <c r="A288" s="61" t="s">
        <v>328</v>
      </c>
      <c r="B288" s="61">
        <v>1</v>
      </c>
      <c r="C288" s="61">
        <v>3</v>
      </c>
      <c r="D288" s="61">
        <v>2</v>
      </c>
      <c r="E288" s="61">
        <v>0</v>
      </c>
      <c r="F288" s="61">
        <v>9</v>
      </c>
      <c r="G288" s="61"/>
      <c r="H288" s="62" t="s">
        <v>125</v>
      </c>
      <c r="I288" s="61" t="s">
        <v>248</v>
      </c>
      <c r="J288" s="67" t="s">
        <v>262</v>
      </c>
      <c r="K288" s="67" t="s">
        <v>262</v>
      </c>
      <c r="L288" s="66" t="s">
        <v>262</v>
      </c>
      <c r="M288" s="67" t="s">
        <v>89</v>
      </c>
      <c r="N288" s="67" t="s">
        <v>89</v>
      </c>
      <c r="O288" s="67" t="s">
        <v>89</v>
      </c>
      <c r="P288" s="67" t="s">
        <v>89</v>
      </c>
      <c r="Q288" s="67" t="s">
        <v>89</v>
      </c>
      <c r="R288" s="67" t="s">
        <v>89</v>
      </c>
      <c r="S288" s="66" t="s">
        <v>262</v>
      </c>
      <c r="T288" s="67">
        <v>2018</v>
      </c>
    </row>
    <row r="289" spans="1:20" ht="45" x14ac:dyDescent="0.2">
      <c r="A289" s="61" t="s">
        <v>328</v>
      </c>
      <c r="B289" s="61">
        <v>1</v>
      </c>
      <c r="C289" s="61">
        <v>3</v>
      </c>
      <c r="D289" s="61">
        <v>2</v>
      </c>
      <c r="E289" s="61">
        <v>0</v>
      </c>
      <c r="F289" s="61">
        <v>9</v>
      </c>
      <c r="G289" s="61"/>
      <c r="H289" s="62" t="s">
        <v>19</v>
      </c>
      <c r="I289" s="63" t="s">
        <v>260</v>
      </c>
      <c r="J289" s="95">
        <v>1</v>
      </c>
      <c r="K289" s="95">
        <v>2</v>
      </c>
      <c r="L289" s="95">
        <v>6</v>
      </c>
      <c r="M289" s="95">
        <v>0</v>
      </c>
      <c r="N289" s="95">
        <v>0</v>
      </c>
      <c r="O289" s="95">
        <v>0</v>
      </c>
      <c r="P289" s="95">
        <v>0</v>
      </c>
      <c r="Q289" s="95">
        <v>0</v>
      </c>
      <c r="R289" s="95">
        <v>0</v>
      </c>
      <c r="S289" s="95">
        <f>SUM(J289:O289)</f>
        <v>9</v>
      </c>
      <c r="T289" s="67">
        <v>2018</v>
      </c>
    </row>
    <row r="290" spans="1:20" ht="45" x14ac:dyDescent="0.2">
      <c r="A290" s="61" t="s">
        <v>328</v>
      </c>
      <c r="B290" s="61">
        <v>1</v>
      </c>
      <c r="C290" s="61">
        <v>3</v>
      </c>
      <c r="D290" s="61">
        <v>2</v>
      </c>
      <c r="E290" s="61">
        <v>1</v>
      </c>
      <c r="F290" s="61">
        <v>0</v>
      </c>
      <c r="G290" s="61"/>
      <c r="H290" s="62" t="s">
        <v>20</v>
      </c>
      <c r="I290" s="61" t="s">
        <v>248</v>
      </c>
      <c r="J290" s="67" t="s">
        <v>262</v>
      </c>
      <c r="K290" s="67" t="s">
        <v>262</v>
      </c>
      <c r="L290" s="66" t="s">
        <v>262</v>
      </c>
      <c r="M290" s="67" t="s">
        <v>262</v>
      </c>
      <c r="N290" s="67" t="s">
        <v>262</v>
      </c>
      <c r="O290" s="67" t="s">
        <v>262</v>
      </c>
      <c r="P290" s="67" t="s">
        <v>262</v>
      </c>
      <c r="Q290" s="67" t="s">
        <v>262</v>
      </c>
      <c r="R290" s="67" t="s">
        <v>262</v>
      </c>
      <c r="S290" s="66" t="s">
        <v>262</v>
      </c>
      <c r="T290" s="67">
        <v>2024</v>
      </c>
    </row>
    <row r="291" spans="1:20" ht="60" x14ac:dyDescent="0.2">
      <c r="A291" s="61" t="s">
        <v>328</v>
      </c>
      <c r="B291" s="61">
        <v>1</v>
      </c>
      <c r="C291" s="61">
        <v>3</v>
      </c>
      <c r="D291" s="61">
        <v>2</v>
      </c>
      <c r="E291" s="61">
        <v>1</v>
      </c>
      <c r="F291" s="61">
        <v>0</v>
      </c>
      <c r="G291" s="61"/>
      <c r="H291" s="62" t="s">
        <v>126</v>
      </c>
      <c r="I291" s="63" t="s">
        <v>260</v>
      </c>
      <c r="J291" s="64">
        <v>4</v>
      </c>
      <c r="K291" s="64">
        <v>5</v>
      </c>
      <c r="L291" s="95">
        <v>9</v>
      </c>
      <c r="M291" s="95">
        <v>5</v>
      </c>
      <c r="N291" s="95">
        <v>1</v>
      </c>
      <c r="O291" s="95">
        <v>5</v>
      </c>
      <c r="P291" s="95">
        <v>5</v>
      </c>
      <c r="Q291" s="95">
        <v>5</v>
      </c>
      <c r="R291" s="95">
        <v>5</v>
      </c>
      <c r="S291" s="95">
        <f>SUM(J291:O291)</f>
        <v>29</v>
      </c>
      <c r="T291" s="67">
        <v>2024</v>
      </c>
    </row>
    <row r="292" spans="1:20" ht="30" x14ac:dyDescent="0.2">
      <c r="A292" s="61" t="s">
        <v>328</v>
      </c>
      <c r="B292" s="61">
        <v>1</v>
      </c>
      <c r="C292" s="61">
        <v>3</v>
      </c>
      <c r="D292" s="61">
        <v>2</v>
      </c>
      <c r="E292" s="61">
        <v>1</v>
      </c>
      <c r="F292" s="61">
        <v>1</v>
      </c>
      <c r="G292" s="61"/>
      <c r="H292" s="62" t="s">
        <v>127</v>
      </c>
      <c r="I292" s="61" t="s">
        <v>248</v>
      </c>
      <c r="J292" s="67" t="s">
        <v>262</v>
      </c>
      <c r="K292" s="67" t="s">
        <v>262</v>
      </c>
      <c r="L292" s="66" t="s">
        <v>262</v>
      </c>
      <c r="M292" s="67" t="s">
        <v>262</v>
      </c>
      <c r="N292" s="67" t="s">
        <v>262</v>
      </c>
      <c r="O292" s="67" t="s">
        <v>262</v>
      </c>
      <c r="P292" s="67" t="s">
        <v>262</v>
      </c>
      <c r="Q292" s="67" t="s">
        <v>262</v>
      </c>
      <c r="R292" s="67" t="s">
        <v>262</v>
      </c>
      <c r="S292" s="66" t="s">
        <v>262</v>
      </c>
      <c r="T292" s="67">
        <v>2024</v>
      </c>
    </row>
    <row r="293" spans="1:20" ht="30" x14ac:dyDescent="0.2">
      <c r="A293" s="61" t="s">
        <v>328</v>
      </c>
      <c r="B293" s="61">
        <v>1</v>
      </c>
      <c r="C293" s="61">
        <v>3</v>
      </c>
      <c r="D293" s="61">
        <v>2</v>
      </c>
      <c r="E293" s="61">
        <v>1</v>
      </c>
      <c r="F293" s="61">
        <v>1</v>
      </c>
      <c r="G293" s="61"/>
      <c r="H293" s="62" t="s">
        <v>405</v>
      </c>
      <c r="I293" s="63" t="s">
        <v>260</v>
      </c>
      <c r="J293" s="64">
        <v>40</v>
      </c>
      <c r="K293" s="64">
        <v>40</v>
      </c>
      <c r="L293" s="95">
        <v>45</v>
      </c>
      <c r="M293" s="95">
        <v>46</v>
      </c>
      <c r="N293" s="95">
        <v>63</v>
      </c>
      <c r="O293" s="95">
        <v>30</v>
      </c>
      <c r="P293" s="95">
        <v>30</v>
      </c>
      <c r="Q293" s="95">
        <v>30</v>
      </c>
      <c r="R293" s="95">
        <v>30</v>
      </c>
      <c r="S293" s="95">
        <f>SUM(J293:O293)</f>
        <v>264</v>
      </c>
      <c r="T293" s="67">
        <v>2024</v>
      </c>
    </row>
    <row r="294" spans="1:20" ht="30" x14ac:dyDescent="0.2">
      <c r="A294" s="61" t="s">
        <v>328</v>
      </c>
      <c r="B294" s="61">
        <v>1</v>
      </c>
      <c r="C294" s="61">
        <v>3</v>
      </c>
      <c r="D294" s="61">
        <v>2</v>
      </c>
      <c r="E294" s="61">
        <v>1</v>
      </c>
      <c r="F294" s="61">
        <v>2</v>
      </c>
      <c r="G294" s="61"/>
      <c r="H294" s="62" t="s">
        <v>52</v>
      </c>
      <c r="I294" s="61" t="s">
        <v>248</v>
      </c>
      <c r="J294" s="67" t="s">
        <v>262</v>
      </c>
      <c r="K294" s="67" t="s">
        <v>262</v>
      </c>
      <c r="L294" s="66" t="s">
        <v>262</v>
      </c>
      <c r="M294" s="67" t="s">
        <v>262</v>
      </c>
      <c r="N294" s="67" t="s">
        <v>262</v>
      </c>
      <c r="O294" s="67" t="s">
        <v>262</v>
      </c>
      <c r="P294" s="67" t="s">
        <v>262</v>
      </c>
      <c r="Q294" s="67" t="s">
        <v>262</v>
      </c>
      <c r="R294" s="67" t="s">
        <v>262</v>
      </c>
      <c r="S294" s="66" t="s">
        <v>262</v>
      </c>
      <c r="T294" s="67">
        <v>2024</v>
      </c>
    </row>
    <row r="295" spans="1:20" ht="30" x14ac:dyDescent="0.2">
      <c r="A295" s="61" t="s">
        <v>328</v>
      </c>
      <c r="B295" s="61">
        <v>1</v>
      </c>
      <c r="C295" s="61">
        <v>3</v>
      </c>
      <c r="D295" s="61">
        <v>2</v>
      </c>
      <c r="E295" s="61">
        <v>1</v>
      </c>
      <c r="F295" s="61">
        <v>2</v>
      </c>
      <c r="G295" s="61"/>
      <c r="H295" s="62" t="s">
        <v>406</v>
      </c>
      <c r="I295" s="63" t="s">
        <v>260</v>
      </c>
      <c r="J295" s="64">
        <v>180</v>
      </c>
      <c r="K295" s="64">
        <v>160</v>
      </c>
      <c r="L295" s="95">
        <v>142</v>
      </c>
      <c r="M295" s="95">
        <v>109</v>
      </c>
      <c r="N295" s="95">
        <v>85</v>
      </c>
      <c r="O295" s="95">
        <v>170</v>
      </c>
      <c r="P295" s="95">
        <v>170</v>
      </c>
      <c r="Q295" s="95">
        <v>170</v>
      </c>
      <c r="R295" s="95">
        <v>170</v>
      </c>
      <c r="S295" s="95">
        <f>SUM(J295:O295)</f>
        <v>846</v>
      </c>
      <c r="T295" s="67">
        <v>2024</v>
      </c>
    </row>
    <row r="296" spans="1:20" ht="30" x14ac:dyDescent="0.2">
      <c r="A296" s="61" t="s">
        <v>328</v>
      </c>
      <c r="B296" s="61">
        <v>1</v>
      </c>
      <c r="C296" s="61">
        <v>3</v>
      </c>
      <c r="D296" s="61">
        <v>2</v>
      </c>
      <c r="E296" s="61">
        <v>1</v>
      </c>
      <c r="F296" s="61">
        <v>3</v>
      </c>
      <c r="G296" s="61"/>
      <c r="H296" s="62" t="s">
        <v>142</v>
      </c>
      <c r="I296" s="61" t="s">
        <v>248</v>
      </c>
      <c r="J296" s="67" t="s">
        <v>262</v>
      </c>
      <c r="K296" s="67" t="s">
        <v>262</v>
      </c>
      <c r="L296" s="66" t="s">
        <v>262</v>
      </c>
      <c r="M296" s="67" t="s">
        <v>262</v>
      </c>
      <c r="N296" s="67" t="s">
        <v>262</v>
      </c>
      <c r="O296" s="67" t="s">
        <v>262</v>
      </c>
      <c r="P296" s="67" t="s">
        <v>262</v>
      </c>
      <c r="Q296" s="67" t="s">
        <v>262</v>
      </c>
      <c r="R296" s="67" t="s">
        <v>262</v>
      </c>
      <c r="S296" s="66" t="s">
        <v>262</v>
      </c>
      <c r="T296" s="67">
        <v>2024</v>
      </c>
    </row>
    <row r="297" spans="1:20" ht="30" x14ac:dyDescent="0.2">
      <c r="A297" s="61" t="s">
        <v>328</v>
      </c>
      <c r="B297" s="61">
        <v>1</v>
      </c>
      <c r="C297" s="61">
        <v>3</v>
      </c>
      <c r="D297" s="61">
        <v>2</v>
      </c>
      <c r="E297" s="61">
        <v>1</v>
      </c>
      <c r="F297" s="61">
        <v>3</v>
      </c>
      <c r="G297" s="61"/>
      <c r="H297" s="62" t="s">
        <v>401</v>
      </c>
      <c r="I297" s="63" t="s">
        <v>260</v>
      </c>
      <c r="J297" s="64">
        <v>44</v>
      </c>
      <c r="K297" s="64">
        <v>150</v>
      </c>
      <c r="L297" s="95">
        <v>175</v>
      </c>
      <c r="M297" s="95">
        <f>ROUND(146/10*12,0)</f>
        <v>175</v>
      </c>
      <c r="N297" s="95">
        <v>200</v>
      </c>
      <c r="O297" s="95">
        <v>200</v>
      </c>
      <c r="P297" s="95">
        <v>200</v>
      </c>
      <c r="Q297" s="95">
        <v>200</v>
      </c>
      <c r="R297" s="95">
        <v>200</v>
      </c>
      <c r="S297" s="95">
        <f>SUM(J297:O297)</f>
        <v>944</v>
      </c>
      <c r="T297" s="67">
        <v>2024</v>
      </c>
    </row>
    <row r="298" spans="1:20" ht="30" x14ac:dyDescent="0.2">
      <c r="A298" s="61" t="s">
        <v>328</v>
      </c>
      <c r="B298" s="61">
        <v>1</v>
      </c>
      <c r="C298" s="61">
        <v>3</v>
      </c>
      <c r="D298" s="61">
        <v>3</v>
      </c>
      <c r="E298" s="61">
        <v>0</v>
      </c>
      <c r="F298" s="61">
        <v>0</v>
      </c>
      <c r="G298" s="61"/>
      <c r="H298" s="62" t="s">
        <v>441</v>
      </c>
      <c r="I298" s="63" t="s">
        <v>259</v>
      </c>
      <c r="J298" s="66">
        <f t="shared" ref="J298:R298" si="60">J299</f>
        <v>0</v>
      </c>
      <c r="K298" s="66">
        <f t="shared" si="60"/>
        <v>0</v>
      </c>
      <c r="L298" s="66">
        <f t="shared" si="60"/>
        <v>0</v>
      </c>
      <c r="M298" s="66">
        <f t="shared" si="60"/>
        <v>0</v>
      </c>
      <c r="N298" s="66">
        <f t="shared" si="60"/>
        <v>1773.7</v>
      </c>
      <c r="O298" s="66">
        <f t="shared" si="60"/>
        <v>2800</v>
      </c>
      <c r="P298" s="66">
        <f t="shared" si="60"/>
        <v>2800</v>
      </c>
      <c r="Q298" s="66">
        <f t="shared" si="60"/>
        <v>2800</v>
      </c>
      <c r="R298" s="66">
        <f t="shared" si="60"/>
        <v>2800</v>
      </c>
      <c r="S298" s="66">
        <f>SUM(J298:R298)</f>
        <v>12973.7</v>
      </c>
      <c r="T298" s="67">
        <v>2024</v>
      </c>
    </row>
    <row r="299" spans="1:20" ht="15" x14ac:dyDescent="0.2">
      <c r="A299" s="61" t="s">
        <v>328</v>
      </c>
      <c r="B299" s="61">
        <v>1</v>
      </c>
      <c r="C299" s="61">
        <v>3</v>
      </c>
      <c r="D299" s="61">
        <v>3</v>
      </c>
      <c r="E299" s="61">
        <v>0</v>
      </c>
      <c r="F299" s="61">
        <v>0</v>
      </c>
      <c r="G299" s="61"/>
      <c r="H299" s="62" t="s">
        <v>229</v>
      </c>
      <c r="I299" s="63" t="s">
        <v>259</v>
      </c>
      <c r="J299" s="66">
        <f t="shared" ref="J299:R299" si="61">J302</f>
        <v>0</v>
      </c>
      <c r="K299" s="66">
        <f t="shared" si="61"/>
        <v>0</v>
      </c>
      <c r="L299" s="66">
        <f t="shared" si="61"/>
        <v>0</v>
      </c>
      <c r="M299" s="66">
        <f t="shared" si="61"/>
        <v>0</v>
      </c>
      <c r="N299" s="66">
        <f t="shared" si="61"/>
        <v>1773.7</v>
      </c>
      <c r="O299" s="66">
        <f t="shared" si="61"/>
        <v>2800</v>
      </c>
      <c r="P299" s="66">
        <f t="shared" si="61"/>
        <v>2800</v>
      </c>
      <c r="Q299" s="66">
        <f t="shared" si="61"/>
        <v>2800</v>
      </c>
      <c r="R299" s="66">
        <f t="shared" si="61"/>
        <v>2800</v>
      </c>
      <c r="S299" s="66">
        <f>SUM(J299:R299)</f>
        <v>12973.7</v>
      </c>
      <c r="T299" s="67">
        <v>2024</v>
      </c>
    </row>
    <row r="300" spans="1:20" ht="30" x14ac:dyDescent="0.2">
      <c r="A300" s="61" t="s">
        <v>328</v>
      </c>
      <c r="B300" s="61">
        <v>1</v>
      </c>
      <c r="C300" s="61">
        <v>3</v>
      </c>
      <c r="D300" s="61">
        <v>3</v>
      </c>
      <c r="E300" s="61">
        <v>0</v>
      </c>
      <c r="F300" s="61">
        <v>0</v>
      </c>
      <c r="G300" s="61"/>
      <c r="H300" s="62" t="s">
        <v>442</v>
      </c>
      <c r="I300" s="63" t="s">
        <v>261</v>
      </c>
      <c r="J300" s="64" t="s">
        <v>404</v>
      </c>
      <c r="K300" s="64" t="s">
        <v>404</v>
      </c>
      <c r="L300" s="64" t="s">
        <v>404</v>
      </c>
      <c r="M300" s="64" t="s">
        <v>404</v>
      </c>
      <c r="N300" s="65">
        <f>расчет_показ!I109</f>
        <v>0.25485526990835183</v>
      </c>
      <c r="O300" s="65">
        <f>расчет_показ!J109</f>
        <v>0.22394021760207788</v>
      </c>
      <c r="P300" s="65">
        <f>расчет_показ!K109</f>
        <v>0.22161327818117552</v>
      </c>
      <c r="Q300" s="65">
        <f>расчет_показ!L109</f>
        <v>0.22161327818117552</v>
      </c>
      <c r="R300" s="65">
        <f>расчет_показ!M109</f>
        <v>0.22161327818117552</v>
      </c>
      <c r="S300" s="66">
        <f>SUM(J300:R300)</f>
        <v>1.1436353220539563</v>
      </c>
      <c r="T300" s="67">
        <v>2024</v>
      </c>
    </row>
    <row r="301" spans="1:20" ht="45" x14ac:dyDescent="0.2">
      <c r="A301" s="61" t="s">
        <v>328</v>
      </c>
      <c r="B301" s="61">
        <v>1</v>
      </c>
      <c r="C301" s="61">
        <v>3</v>
      </c>
      <c r="D301" s="61">
        <v>3</v>
      </c>
      <c r="E301" s="61">
        <v>0</v>
      </c>
      <c r="F301" s="61">
        <v>0</v>
      </c>
      <c r="G301" s="61"/>
      <c r="H301" s="62" t="s">
        <v>443</v>
      </c>
      <c r="I301" s="63" t="s">
        <v>261</v>
      </c>
      <c r="J301" s="64" t="s">
        <v>404</v>
      </c>
      <c r="K301" s="64" t="s">
        <v>404</v>
      </c>
      <c r="L301" s="64" t="s">
        <v>404</v>
      </c>
      <c r="M301" s="64" t="s">
        <v>404</v>
      </c>
      <c r="N301" s="95">
        <f>расчет_показ!I112</f>
        <v>100</v>
      </c>
      <c r="O301" s="95">
        <f>расчет_показ!J112</f>
        <v>100</v>
      </c>
      <c r="P301" s="95">
        <f>расчет_показ!K112</f>
        <v>100</v>
      </c>
      <c r="Q301" s="95">
        <f>расчет_показ!L112</f>
        <v>100</v>
      </c>
      <c r="R301" s="95">
        <f>расчет_показ!M112</f>
        <v>100</v>
      </c>
      <c r="S301" s="95">
        <f>R301</f>
        <v>100</v>
      </c>
      <c r="T301" s="67">
        <v>2024</v>
      </c>
    </row>
    <row r="302" spans="1:20" ht="30" x14ac:dyDescent="0.2">
      <c r="A302" s="61" t="s">
        <v>328</v>
      </c>
      <c r="B302" s="61">
        <v>1</v>
      </c>
      <c r="C302" s="61">
        <v>3</v>
      </c>
      <c r="D302" s="61">
        <v>3</v>
      </c>
      <c r="E302" s="61">
        <v>0</v>
      </c>
      <c r="F302" s="61">
        <v>1</v>
      </c>
      <c r="G302" s="61">
        <v>3</v>
      </c>
      <c r="H302" s="62" t="s">
        <v>444</v>
      </c>
      <c r="I302" s="63" t="s">
        <v>259</v>
      </c>
      <c r="J302" s="141">
        <v>0</v>
      </c>
      <c r="K302" s="141">
        <v>0</v>
      </c>
      <c r="L302" s="66">
        <v>0</v>
      </c>
      <c r="M302" s="66">
        <v>0</v>
      </c>
      <c r="N302" s="66">
        <v>1773.7</v>
      </c>
      <c r="O302" s="66">
        <v>2800</v>
      </c>
      <c r="P302" s="66">
        <v>2800</v>
      </c>
      <c r="Q302" s="66">
        <v>2800</v>
      </c>
      <c r="R302" s="66">
        <v>2800</v>
      </c>
      <c r="S302" s="66">
        <f>SUM(J302:R302)</f>
        <v>12973.7</v>
      </c>
      <c r="T302" s="67">
        <v>2024</v>
      </c>
    </row>
    <row r="303" spans="1:20" ht="30" x14ac:dyDescent="0.2">
      <c r="A303" s="61" t="s">
        <v>328</v>
      </c>
      <c r="B303" s="61">
        <v>1</v>
      </c>
      <c r="C303" s="61">
        <v>3</v>
      </c>
      <c r="D303" s="61">
        <v>3</v>
      </c>
      <c r="E303" s="61">
        <v>0</v>
      </c>
      <c r="F303" s="61">
        <v>1</v>
      </c>
      <c r="G303" s="61"/>
      <c r="H303" s="62" t="s">
        <v>450</v>
      </c>
      <c r="I303" s="63" t="s">
        <v>445</v>
      </c>
      <c r="J303" s="64" t="s">
        <v>404</v>
      </c>
      <c r="K303" s="64" t="s">
        <v>404</v>
      </c>
      <c r="L303" s="64" t="s">
        <v>404</v>
      </c>
      <c r="M303" s="64" t="s">
        <v>404</v>
      </c>
      <c r="N303" s="95">
        <v>50</v>
      </c>
      <c r="O303" s="95">
        <v>52</v>
      </c>
      <c r="P303" s="95">
        <v>54</v>
      </c>
      <c r="Q303" s="95">
        <v>56</v>
      </c>
      <c r="R303" s="95">
        <v>58</v>
      </c>
      <c r="S303" s="95">
        <f>SUM(J303:R303)</f>
        <v>270</v>
      </c>
      <c r="T303" s="67">
        <v>2024</v>
      </c>
    </row>
    <row r="304" spans="1:20" ht="15" x14ac:dyDescent="0.2">
      <c r="A304" s="61" t="s">
        <v>328</v>
      </c>
      <c r="B304" s="61">
        <v>1</v>
      </c>
      <c r="C304" s="61">
        <v>3</v>
      </c>
      <c r="D304" s="61">
        <v>3</v>
      </c>
      <c r="E304" s="61">
        <v>0</v>
      </c>
      <c r="F304" s="61">
        <v>1</v>
      </c>
      <c r="G304" s="61"/>
      <c r="H304" s="62" t="s">
        <v>446</v>
      </c>
      <c r="I304" s="63" t="s">
        <v>445</v>
      </c>
      <c r="J304" s="64" t="s">
        <v>404</v>
      </c>
      <c r="K304" s="64" t="s">
        <v>404</v>
      </c>
      <c r="L304" s="64" t="s">
        <v>404</v>
      </c>
      <c r="M304" s="64" t="s">
        <v>404</v>
      </c>
      <c r="N304" s="95">
        <v>70</v>
      </c>
      <c r="O304" s="95">
        <v>52</v>
      </c>
      <c r="P304" s="95">
        <v>54</v>
      </c>
      <c r="Q304" s="95">
        <v>56</v>
      </c>
      <c r="R304" s="95">
        <v>58</v>
      </c>
      <c r="S304" s="95">
        <f>SUM(J304:R304)</f>
        <v>290</v>
      </c>
      <c r="T304" s="67">
        <v>2024</v>
      </c>
    </row>
    <row r="305" spans="1:26" ht="75" x14ac:dyDescent="0.2">
      <c r="A305" s="61" t="s">
        <v>328</v>
      </c>
      <c r="B305" s="61">
        <v>1</v>
      </c>
      <c r="C305" s="61">
        <v>3</v>
      </c>
      <c r="D305" s="61">
        <v>3</v>
      </c>
      <c r="E305" s="61">
        <v>0</v>
      </c>
      <c r="F305" s="61">
        <v>2</v>
      </c>
      <c r="G305" s="61"/>
      <c r="H305" s="62" t="s">
        <v>466</v>
      </c>
      <c r="I305" s="63" t="s">
        <v>248</v>
      </c>
      <c r="J305" s="64" t="s">
        <v>404</v>
      </c>
      <c r="K305" s="64" t="s">
        <v>404</v>
      </c>
      <c r="L305" s="64" t="s">
        <v>404</v>
      </c>
      <c r="M305" s="64" t="s">
        <v>404</v>
      </c>
      <c r="N305" s="95" t="s">
        <v>262</v>
      </c>
      <c r="O305" s="95" t="s">
        <v>262</v>
      </c>
      <c r="P305" s="95" t="s">
        <v>262</v>
      </c>
      <c r="Q305" s="95" t="s">
        <v>262</v>
      </c>
      <c r="R305" s="95" t="s">
        <v>262</v>
      </c>
      <c r="S305" s="95" t="s">
        <v>262</v>
      </c>
      <c r="T305" s="67">
        <v>2024</v>
      </c>
    </row>
    <row r="306" spans="1:26" ht="15" x14ac:dyDescent="0.2">
      <c r="A306" s="61" t="s">
        <v>328</v>
      </c>
      <c r="B306" s="61">
        <v>1</v>
      </c>
      <c r="C306" s="61">
        <v>3</v>
      </c>
      <c r="D306" s="61">
        <v>3</v>
      </c>
      <c r="E306" s="61">
        <v>0</v>
      </c>
      <c r="F306" s="61">
        <v>2</v>
      </c>
      <c r="G306" s="61"/>
      <c r="H306" s="62" t="s">
        <v>447</v>
      </c>
      <c r="I306" s="63" t="s">
        <v>445</v>
      </c>
      <c r="J306" s="64" t="s">
        <v>404</v>
      </c>
      <c r="K306" s="64" t="s">
        <v>404</v>
      </c>
      <c r="L306" s="64" t="s">
        <v>404</v>
      </c>
      <c r="M306" s="64" t="s">
        <v>404</v>
      </c>
      <c r="N306" s="95">
        <v>130</v>
      </c>
      <c r="O306" s="95">
        <v>92</v>
      </c>
      <c r="P306" s="95">
        <v>94</v>
      </c>
      <c r="Q306" s="95">
        <v>96</v>
      </c>
      <c r="R306" s="95">
        <v>98</v>
      </c>
      <c r="S306" s="95">
        <f>SUM(J306:R306)</f>
        <v>510</v>
      </c>
      <c r="T306" s="67">
        <v>2024</v>
      </c>
    </row>
    <row r="307" spans="1:26" ht="75" x14ac:dyDescent="0.2">
      <c r="A307" s="61" t="s">
        <v>328</v>
      </c>
      <c r="B307" s="61">
        <v>1</v>
      </c>
      <c r="C307" s="61">
        <v>3</v>
      </c>
      <c r="D307" s="61">
        <v>3</v>
      </c>
      <c r="E307" s="61">
        <v>0</v>
      </c>
      <c r="F307" s="61">
        <v>3</v>
      </c>
      <c r="G307" s="61"/>
      <c r="H307" s="62" t="s">
        <v>448</v>
      </c>
      <c r="I307" s="63" t="s">
        <v>248</v>
      </c>
      <c r="J307" s="64" t="s">
        <v>404</v>
      </c>
      <c r="K307" s="64" t="s">
        <v>404</v>
      </c>
      <c r="L307" s="64" t="s">
        <v>404</v>
      </c>
      <c r="M307" s="64" t="s">
        <v>404</v>
      </c>
      <c r="N307" s="95" t="s">
        <v>262</v>
      </c>
      <c r="O307" s="95" t="s">
        <v>262</v>
      </c>
      <c r="P307" s="95" t="s">
        <v>262</v>
      </c>
      <c r="Q307" s="95" t="s">
        <v>262</v>
      </c>
      <c r="R307" s="95" t="s">
        <v>262</v>
      </c>
      <c r="S307" s="95" t="s">
        <v>262</v>
      </c>
      <c r="T307" s="67">
        <v>2024</v>
      </c>
    </row>
    <row r="308" spans="1:26" ht="30" x14ac:dyDescent="0.2">
      <c r="A308" s="61" t="s">
        <v>328</v>
      </c>
      <c r="B308" s="61">
        <v>1</v>
      </c>
      <c r="C308" s="61">
        <v>3</v>
      </c>
      <c r="D308" s="61">
        <v>3</v>
      </c>
      <c r="E308" s="61">
        <v>0</v>
      </c>
      <c r="F308" s="61">
        <v>3</v>
      </c>
      <c r="G308" s="61"/>
      <c r="H308" s="62" t="s">
        <v>449</v>
      </c>
      <c r="I308" s="63" t="s">
        <v>445</v>
      </c>
      <c r="J308" s="64" t="s">
        <v>404</v>
      </c>
      <c r="K308" s="64" t="s">
        <v>404</v>
      </c>
      <c r="L308" s="64" t="s">
        <v>404</v>
      </c>
      <c r="M308" s="64" t="s">
        <v>404</v>
      </c>
      <c r="N308" s="95">
        <v>670</v>
      </c>
      <c r="O308" s="95">
        <v>710</v>
      </c>
      <c r="P308" s="95">
        <v>720</v>
      </c>
      <c r="Q308" s="95">
        <v>740</v>
      </c>
      <c r="R308" s="95">
        <v>750</v>
      </c>
      <c r="S308" s="95">
        <f>SUM(J308:R308)</f>
        <v>3590</v>
      </c>
      <c r="T308" s="67">
        <v>2024</v>
      </c>
    </row>
    <row r="309" spans="1:26" ht="14.25" x14ac:dyDescent="0.2">
      <c r="A309" s="84" t="s">
        <v>328</v>
      </c>
      <c r="B309" s="84">
        <v>1</v>
      </c>
      <c r="C309" s="84">
        <v>4</v>
      </c>
      <c r="D309" s="84">
        <v>0</v>
      </c>
      <c r="E309" s="84">
        <v>0</v>
      </c>
      <c r="F309" s="84">
        <v>0</v>
      </c>
      <c r="G309" s="84"/>
      <c r="H309" s="85" t="s">
        <v>53</v>
      </c>
      <c r="I309" s="86" t="s">
        <v>259</v>
      </c>
      <c r="J309" s="96">
        <f>J310+J311+J312</f>
        <v>161734.5</v>
      </c>
      <c r="K309" s="96">
        <f t="shared" ref="K309:S309" si="62">K310+K311+K312</f>
        <v>130490.5</v>
      </c>
      <c r="L309" s="96">
        <f t="shared" si="62"/>
        <v>77742.8</v>
      </c>
      <c r="M309" s="96">
        <f t="shared" si="62"/>
        <v>80717.200000000012</v>
      </c>
      <c r="N309" s="96">
        <f t="shared" si="62"/>
        <v>60785</v>
      </c>
      <c r="O309" s="96">
        <f t="shared" si="62"/>
        <v>11000</v>
      </c>
      <c r="P309" s="96">
        <f>P310+P311+P312</f>
        <v>14770</v>
      </c>
      <c r="Q309" s="96">
        <f>Q310+Q311+Q312</f>
        <v>58954.2</v>
      </c>
      <c r="R309" s="96">
        <f>R310+R311+R312</f>
        <v>58954.2</v>
      </c>
      <c r="S309" s="96">
        <f t="shared" si="62"/>
        <v>655148.4</v>
      </c>
      <c r="T309" s="88">
        <v>2024</v>
      </c>
      <c r="Y309" s="90"/>
    </row>
    <row r="310" spans="1:26" ht="15" x14ac:dyDescent="0.2">
      <c r="A310" s="61" t="s">
        <v>328</v>
      </c>
      <c r="B310" s="61">
        <v>1</v>
      </c>
      <c r="C310" s="61">
        <v>4</v>
      </c>
      <c r="D310" s="61">
        <v>0</v>
      </c>
      <c r="E310" s="61">
        <v>0</v>
      </c>
      <c r="F310" s="61">
        <v>0</v>
      </c>
      <c r="G310" s="61">
        <v>1</v>
      </c>
      <c r="H310" s="62" t="s">
        <v>218</v>
      </c>
      <c r="I310" s="63" t="s">
        <v>259</v>
      </c>
      <c r="J310" s="71">
        <f>J314</f>
        <v>70451.799999999988</v>
      </c>
      <c r="K310" s="71">
        <f t="shared" ref="K310:O312" si="63">K314</f>
        <v>33900.6</v>
      </c>
      <c r="L310" s="71">
        <f t="shared" si="63"/>
        <v>28676.799999999999</v>
      </c>
      <c r="M310" s="71">
        <f t="shared" si="63"/>
        <v>35969.800000000003</v>
      </c>
      <c r="N310" s="71">
        <f t="shared" si="63"/>
        <v>10436.4</v>
      </c>
      <c r="O310" s="71">
        <f t="shared" si="63"/>
        <v>0</v>
      </c>
      <c r="P310" s="71">
        <f t="shared" ref="P310:R312" si="64">P314</f>
        <v>0</v>
      </c>
      <c r="Q310" s="71">
        <f t="shared" si="64"/>
        <v>29755.599999999999</v>
      </c>
      <c r="R310" s="71">
        <f t="shared" si="64"/>
        <v>29755.599999999999</v>
      </c>
      <c r="S310" s="71">
        <f t="shared" ref="S310:S315" si="65">SUM(J310:R310)</f>
        <v>238946.6</v>
      </c>
      <c r="T310" s="67">
        <v>2024</v>
      </c>
    </row>
    <row r="311" spans="1:26" ht="15" x14ac:dyDescent="0.2">
      <c r="A311" s="61" t="s">
        <v>328</v>
      </c>
      <c r="B311" s="61">
        <v>1</v>
      </c>
      <c r="C311" s="61">
        <v>4</v>
      </c>
      <c r="D311" s="61">
        <v>0</v>
      </c>
      <c r="E311" s="61">
        <v>0</v>
      </c>
      <c r="F311" s="61">
        <v>0</v>
      </c>
      <c r="G311" s="61">
        <v>2</v>
      </c>
      <c r="H311" s="62" t="s">
        <v>228</v>
      </c>
      <c r="I311" s="63" t="s">
        <v>259</v>
      </c>
      <c r="J311" s="71">
        <f>J315</f>
        <v>54768.899999999994</v>
      </c>
      <c r="K311" s="71">
        <f t="shared" si="63"/>
        <v>64032.800000000003</v>
      </c>
      <c r="L311" s="71">
        <f t="shared" si="63"/>
        <v>27229.8</v>
      </c>
      <c r="M311" s="71">
        <f t="shared" si="63"/>
        <v>21964.799999999999</v>
      </c>
      <c r="N311" s="71">
        <f t="shared" si="63"/>
        <v>27182.6</v>
      </c>
      <c r="O311" s="71">
        <f t="shared" si="63"/>
        <v>0</v>
      </c>
      <c r="P311" s="71">
        <f t="shared" si="64"/>
        <v>0</v>
      </c>
      <c r="Q311" s="71">
        <f t="shared" si="64"/>
        <v>18198.599999999999</v>
      </c>
      <c r="R311" s="71">
        <f t="shared" si="64"/>
        <v>18198.599999999999</v>
      </c>
      <c r="S311" s="71">
        <f t="shared" si="65"/>
        <v>231576.1</v>
      </c>
      <c r="T311" s="67">
        <v>2024</v>
      </c>
    </row>
    <row r="312" spans="1:26" ht="15" x14ac:dyDescent="0.2">
      <c r="A312" s="61" t="s">
        <v>328</v>
      </c>
      <c r="B312" s="61">
        <v>1</v>
      </c>
      <c r="C312" s="61">
        <v>4</v>
      </c>
      <c r="D312" s="61">
        <v>0</v>
      </c>
      <c r="E312" s="61">
        <v>0</v>
      </c>
      <c r="F312" s="61">
        <v>0</v>
      </c>
      <c r="G312" s="61">
        <v>3</v>
      </c>
      <c r="H312" s="62" t="s">
        <v>229</v>
      </c>
      <c r="I312" s="63" t="s">
        <v>259</v>
      </c>
      <c r="J312" s="71">
        <f>J316</f>
        <v>36513.800000000003</v>
      </c>
      <c r="K312" s="71">
        <f t="shared" si="63"/>
        <v>32557.1</v>
      </c>
      <c r="L312" s="71">
        <f t="shared" si="63"/>
        <v>21836.2</v>
      </c>
      <c r="M312" s="71">
        <f t="shared" si="63"/>
        <v>22782.6</v>
      </c>
      <c r="N312" s="71">
        <f t="shared" si="63"/>
        <v>23166</v>
      </c>
      <c r="O312" s="71">
        <f t="shared" si="63"/>
        <v>11000</v>
      </c>
      <c r="P312" s="71">
        <f t="shared" si="64"/>
        <v>14770</v>
      </c>
      <c r="Q312" s="71">
        <f t="shared" si="64"/>
        <v>11000</v>
      </c>
      <c r="R312" s="71">
        <f t="shared" si="64"/>
        <v>11000</v>
      </c>
      <c r="S312" s="71">
        <f t="shared" si="65"/>
        <v>184625.69999999998</v>
      </c>
      <c r="T312" s="67">
        <v>2024</v>
      </c>
    </row>
    <row r="313" spans="1:26" ht="15" x14ac:dyDescent="0.2">
      <c r="A313" s="61" t="s">
        <v>328</v>
      </c>
      <c r="B313" s="61">
        <v>1</v>
      </c>
      <c r="C313" s="61">
        <v>4</v>
      </c>
      <c r="D313" s="61">
        <v>1</v>
      </c>
      <c r="E313" s="61">
        <v>0</v>
      </c>
      <c r="F313" s="61">
        <v>0</v>
      </c>
      <c r="G313" s="61"/>
      <c r="H313" s="62" t="s">
        <v>267</v>
      </c>
      <c r="I313" s="63" t="s">
        <v>259</v>
      </c>
      <c r="J313" s="66">
        <f t="shared" ref="J313:R313" si="66">J314+J315+J316</f>
        <v>161734.5</v>
      </c>
      <c r="K313" s="66">
        <f t="shared" si="66"/>
        <v>130490.5</v>
      </c>
      <c r="L313" s="66">
        <f t="shared" si="66"/>
        <v>77742.8</v>
      </c>
      <c r="M313" s="66">
        <f t="shared" si="66"/>
        <v>80717.200000000012</v>
      </c>
      <c r="N313" s="66">
        <f t="shared" si="66"/>
        <v>60785</v>
      </c>
      <c r="O313" s="66">
        <f t="shared" si="66"/>
        <v>11000</v>
      </c>
      <c r="P313" s="66">
        <f t="shared" si="66"/>
        <v>14770</v>
      </c>
      <c r="Q313" s="66">
        <f t="shared" si="66"/>
        <v>58954.2</v>
      </c>
      <c r="R313" s="66">
        <f t="shared" si="66"/>
        <v>58954.2</v>
      </c>
      <c r="S313" s="71">
        <f t="shared" si="65"/>
        <v>655148.39999999991</v>
      </c>
      <c r="T313" s="67">
        <v>2024</v>
      </c>
      <c r="Z313" s="90"/>
    </row>
    <row r="314" spans="1:26" ht="15" x14ac:dyDescent="0.2">
      <c r="A314" s="61" t="s">
        <v>328</v>
      </c>
      <c r="B314" s="61">
        <v>1</v>
      </c>
      <c r="C314" s="61">
        <v>4</v>
      </c>
      <c r="D314" s="61">
        <v>1</v>
      </c>
      <c r="E314" s="61">
        <v>0</v>
      </c>
      <c r="F314" s="61">
        <v>0</v>
      </c>
      <c r="G314" s="61">
        <v>1</v>
      </c>
      <c r="H314" s="62" t="s">
        <v>218</v>
      </c>
      <c r="I314" s="63" t="s">
        <v>259</v>
      </c>
      <c r="J314" s="71">
        <f t="shared" ref="J314:O316" si="67">J324+J329</f>
        <v>70451.799999999988</v>
      </c>
      <c r="K314" s="71">
        <f t="shared" si="67"/>
        <v>33900.6</v>
      </c>
      <c r="L314" s="71">
        <f t="shared" si="67"/>
        <v>28676.799999999999</v>
      </c>
      <c r="M314" s="71">
        <f t="shared" si="67"/>
        <v>35969.800000000003</v>
      </c>
      <c r="N314" s="71">
        <f t="shared" si="67"/>
        <v>10436.4</v>
      </c>
      <c r="O314" s="71">
        <f t="shared" si="67"/>
        <v>0</v>
      </c>
      <c r="P314" s="71">
        <f t="shared" ref="P314:R316" si="68">P324+P329</f>
        <v>0</v>
      </c>
      <c r="Q314" s="71">
        <f t="shared" si="68"/>
        <v>29755.599999999999</v>
      </c>
      <c r="R314" s="71">
        <f t="shared" si="68"/>
        <v>29755.599999999999</v>
      </c>
      <c r="S314" s="71">
        <f t="shared" si="65"/>
        <v>238946.6</v>
      </c>
      <c r="T314" s="67">
        <v>2024</v>
      </c>
    </row>
    <row r="315" spans="1:26" ht="15" x14ac:dyDescent="0.2">
      <c r="A315" s="61" t="s">
        <v>328</v>
      </c>
      <c r="B315" s="61">
        <v>1</v>
      </c>
      <c r="C315" s="61">
        <v>4</v>
      </c>
      <c r="D315" s="61">
        <v>1</v>
      </c>
      <c r="E315" s="61">
        <v>0</v>
      </c>
      <c r="F315" s="61">
        <v>0</v>
      </c>
      <c r="G315" s="61">
        <v>2</v>
      </c>
      <c r="H315" s="62" t="s">
        <v>228</v>
      </c>
      <c r="I315" s="63" t="s">
        <v>259</v>
      </c>
      <c r="J315" s="71">
        <f t="shared" si="67"/>
        <v>54768.899999999994</v>
      </c>
      <c r="K315" s="71">
        <f t="shared" si="67"/>
        <v>64032.800000000003</v>
      </c>
      <c r="L315" s="71">
        <f t="shared" si="67"/>
        <v>27229.8</v>
      </c>
      <c r="M315" s="71">
        <f t="shared" si="67"/>
        <v>21964.799999999999</v>
      </c>
      <c r="N315" s="71">
        <f t="shared" si="67"/>
        <v>27182.6</v>
      </c>
      <c r="O315" s="71">
        <f t="shared" si="67"/>
        <v>0</v>
      </c>
      <c r="P315" s="71">
        <f t="shared" si="68"/>
        <v>0</v>
      </c>
      <c r="Q315" s="71">
        <f t="shared" si="68"/>
        <v>18198.599999999999</v>
      </c>
      <c r="R315" s="71">
        <f t="shared" si="68"/>
        <v>18198.599999999999</v>
      </c>
      <c r="S315" s="71">
        <f t="shared" si="65"/>
        <v>231576.1</v>
      </c>
      <c r="T315" s="67">
        <v>2024</v>
      </c>
    </row>
    <row r="316" spans="1:26" ht="15" x14ac:dyDescent="0.2">
      <c r="A316" s="61" t="s">
        <v>328</v>
      </c>
      <c r="B316" s="61">
        <v>1</v>
      </c>
      <c r="C316" s="61">
        <v>4</v>
      </c>
      <c r="D316" s="61">
        <v>1</v>
      </c>
      <c r="E316" s="61">
        <v>0</v>
      </c>
      <c r="F316" s="61">
        <v>0</v>
      </c>
      <c r="G316" s="61">
        <v>3</v>
      </c>
      <c r="H316" s="62" t="s">
        <v>229</v>
      </c>
      <c r="I316" s="63" t="s">
        <v>259</v>
      </c>
      <c r="J316" s="66">
        <f t="shared" si="67"/>
        <v>36513.800000000003</v>
      </c>
      <c r="K316" s="66">
        <f t="shared" si="67"/>
        <v>32557.1</v>
      </c>
      <c r="L316" s="66">
        <f t="shared" si="67"/>
        <v>21836.2</v>
      </c>
      <c r="M316" s="66">
        <f t="shared" si="67"/>
        <v>22782.6</v>
      </c>
      <c r="N316" s="66">
        <f t="shared" si="67"/>
        <v>23166</v>
      </c>
      <c r="O316" s="66">
        <f t="shared" si="67"/>
        <v>11000</v>
      </c>
      <c r="P316" s="66">
        <f t="shared" si="68"/>
        <v>14770</v>
      </c>
      <c r="Q316" s="66">
        <f t="shared" si="68"/>
        <v>11000</v>
      </c>
      <c r="R316" s="66">
        <f t="shared" si="68"/>
        <v>11000</v>
      </c>
      <c r="S316" s="71">
        <f>SUM(J316:R316)</f>
        <v>184625.69999999998</v>
      </c>
      <c r="T316" s="67">
        <v>2024</v>
      </c>
    </row>
    <row r="317" spans="1:26" ht="90" x14ac:dyDescent="0.2">
      <c r="A317" s="61" t="s">
        <v>328</v>
      </c>
      <c r="B317" s="61">
        <v>1</v>
      </c>
      <c r="C317" s="61">
        <v>4</v>
      </c>
      <c r="D317" s="61">
        <v>1</v>
      </c>
      <c r="E317" s="61">
        <v>0</v>
      </c>
      <c r="F317" s="61">
        <v>0</v>
      </c>
      <c r="G317" s="61"/>
      <c r="H317" s="62" t="s">
        <v>21</v>
      </c>
      <c r="I317" s="63" t="s">
        <v>324</v>
      </c>
      <c r="J317" s="71">
        <v>65.714261729159702</v>
      </c>
      <c r="K317" s="71">
        <v>47.680118143459914</v>
      </c>
      <c r="L317" s="71">
        <v>43.040034099675509</v>
      </c>
      <c r="M317" s="71">
        <v>42.920725682893192</v>
      </c>
      <c r="N317" s="71">
        <v>44.271609215393489</v>
      </c>
      <c r="O317" s="71">
        <v>44.271609215393489</v>
      </c>
      <c r="P317" s="71">
        <v>44.271609215393489</v>
      </c>
      <c r="Q317" s="71">
        <v>59.511199999999995</v>
      </c>
      <c r="R317" s="71">
        <v>59.511199999999995</v>
      </c>
      <c r="S317" s="71">
        <f>R317</f>
        <v>59.511199999999995</v>
      </c>
      <c r="T317" s="67">
        <v>2024</v>
      </c>
    </row>
    <row r="318" spans="1:26" ht="105" x14ac:dyDescent="0.2">
      <c r="A318" s="61" t="s">
        <v>328</v>
      </c>
      <c r="B318" s="61">
        <v>1</v>
      </c>
      <c r="C318" s="61">
        <v>4</v>
      </c>
      <c r="D318" s="61">
        <v>1</v>
      </c>
      <c r="E318" s="61">
        <v>0</v>
      </c>
      <c r="F318" s="61">
        <v>0</v>
      </c>
      <c r="G318" s="61"/>
      <c r="H318" s="62" t="s">
        <v>461</v>
      </c>
      <c r="I318" s="63" t="s">
        <v>324</v>
      </c>
      <c r="J318" s="71">
        <v>66.529361817914591</v>
      </c>
      <c r="K318" s="71">
        <v>67.500691791114392</v>
      </c>
      <c r="L318" s="71">
        <v>43.22190476190476</v>
      </c>
      <c r="M318" s="71">
        <v>43.135899450117833</v>
      </c>
      <c r="N318" s="71">
        <v>43.899547803617565</v>
      </c>
      <c r="O318" s="71">
        <v>43.556628989018087</v>
      </c>
      <c r="P318" s="71">
        <v>43.556628989018087</v>
      </c>
      <c r="Q318" s="71">
        <v>36.397199999999998</v>
      </c>
      <c r="R318" s="71">
        <v>36.397199999999998</v>
      </c>
      <c r="S318" s="71">
        <f>R318</f>
        <v>36.397199999999998</v>
      </c>
      <c r="T318" s="67">
        <v>2024</v>
      </c>
    </row>
    <row r="319" spans="1:26" ht="30" x14ac:dyDescent="0.2">
      <c r="A319" s="61" t="s">
        <v>328</v>
      </c>
      <c r="B319" s="61">
        <v>1</v>
      </c>
      <c r="C319" s="61">
        <v>4</v>
      </c>
      <c r="D319" s="61">
        <v>1</v>
      </c>
      <c r="E319" s="61">
        <v>0</v>
      </c>
      <c r="F319" s="61">
        <v>1</v>
      </c>
      <c r="G319" s="61"/>
      <c r="H319" s="62" t="s">
        <v>22</v>
      </c>
      <c r="I319" s="63" t="s">
        <v>248</v>
      </c>
      <c r="J319" s="71" t="s">
        <v>262</v>
      </c>
      <c r="K319" s="71" t="s">
        <v>262</v>
      </c>
      <c r="L319" s="93" t="s">
        <v>262</v>
      </c>
      <c r="M319" s="71" t="s">
        <v>262</v>
      </c>
      <c r="N319" s="71" t="s">
        <v>262</v>
      </c>
      <c r="O319" s="71" t="s">
        <v>262</v>
      </c>
      <c r="P319" s="71" t="s">
        <v>262</v>
      </c>
      <c r="Q319" s="71" t="s">
        <v>262</v>
      </c>
      <c r="R319" s="71" t="s">
        <v>262</v>
      </c>
      <c r="S319" s="71" t="s">
        <v>262</v>
      </c>
      <c r="T319" s="67">
        <v>2024</v>
      </c>
    </row>
    <row r="320" spans="1:26" ht="15" x14ac:dyDescent="0.2">
      <c r="A320" s="61" t="s">
        <v>328</v>
      </c>
      <c r="B320" s="61">
        <v>1</v>
      </c>
      <c r="C320" s="61">
        <v>4</v>
      </c>
      <c r="D320" s="61">
        <v>1</v>
      </c>
      <c r="E320" s="61">
        <v>0</v>
      </c>
      <c r="F320" s="61">
        <v>1</v>
      </c>
      <c r="G320" s="61"/>
      <c r="H320" s="62" t="s">
        <v>247</v>
      </c>
      <c r="I320" s="63" t="s">
        <v>260</v>
      </c>
      <c r="J320" s="53">
        <v>50</v>
      </c>
      <c r="K320" s="53">
        <v>100</v>
      </c>
      <c r="L320" s="53">
        <v>84</v>
      </c>
      <c r="M320" s="53">
        <v>80</v>
      </c>
      <c r="N320" s="53">
        <v>55</v>
      </c>
      <c r="O320" s="53">
        <v>50</v>
      </c>
      <c r="P320" s="53">
        <v>50</v>
      </c>
      <c r="Q320" s="53">
        <v>50</v>
      </c>
      <c r="R320" s="53">
        <v>50</v>
      </c>
      <c r="S320" s="95">
        <f>SUM(J320:O320)</f>
        <v>419</v>
      </c>
      <c r="T320" s="67">
        <v>2024</v>
      </c>
    </row>
    <row r="321" spans="1:25" ht="30" x14ac:dyDescent="0.2">
      <c r="A321" s="61" t="s">
        <v>328</v>
      </c>
      <c r="B321" s="61">
        <v>1</v>
      </c>
      <c r="C321" s="61">
        <v>4</v>
      </c>
      <c r="D321" s="61">
        <v>1</v>
      </c>
      <c r="E321" s="61">
        <v>0</v>
      </c>
      <c r="F321" s="61">
        <v>2</v>
      </c>
      <c r="G321" s="61"/>
      <c r="H321" s="62" t="s">
        <v>128</v>
      </c>
      <c r="I321" s="63" t="s">
        <v>248</v>
      </c>
      <c r="J321" s="71" t="s">
        <v>262</v>
      </c>
      <c r="K321" s="71" t="s">
        <v>262</v>
      </c>
      <c r="L321" s="71" t="s">
        <v>262</v>
      </c>
      <c r="M321" s="71" t="s">
        <v>262</v>
      </c>
      <c r="N321" s="71" t="s">
        <v>262</v>
      </c>
      <c r="O321" s="71" t="s">
        <v>262</v>
      </c>
      <c r="P321" s="71" t="s">
        <v>262</v>
      </c>
      <c r="Q321" s="71" t="s">
        <v>262</v>
      </c>
      <c r="R321" s="71" t="s">
        <v>262</v>
      </c>
      <c r="S321" s="71" t="s">
        <v>262</v>
      </c>
      <c r="T321" s="67">
        <v>2024</v>
      </c>
    </row>
    <row r="322" spans="1:25" ht="15" x14ac:dyDescent="0.2">
      <c r="A322" s="61" t="s">
        <v>328</v>
      </c>
      <c r="B322" s="61">
        <v>1</v>
      </c>
      <c r="C322" s="61">
        <v>4</v>
      </c>
      <c r="D322" s="61">
        <v>1</v>
      </c>
      <c r="E322" s="61">
        <v>0</v>
      </c>
      <c r="F322" s="61">
        <v>2</v>
      </c>
      <c r="G322" s="61"/>
      <c r="H322" s="62" t="s">
        <v>322</v>
      </c>
      <c r="I322" s="63" t="s">
        <v>260</v>
      </c>
      <c r="J322" s="53">
        <v>1</v>
      </c>
      <c r="K322" s="53">
        <v>1</v>
      </c>
      <c r="L322" s="53">
        <v>1</v>
      </c>
      <c r="M322" s="53">
        <v>1</v>
      </c>
      <c r="N322" s="53">
        <v>1</v>
      </c>
      <c r="O322" s="53">
        <v>1</v>
      </c>
      <c r="P322" s="53">
        <v>1</v>
      </c>
      <c r="Q322" s="53">
        <v>1</v>
      </c>
      <c r="R322" s="53">
        <v>1</v>
      </c>
      <c r="S322" s="53">
        <v>1</v>
      </c>
      <c r="T322" s="67">
        <v>2024</v>
      </c>
    </row>
    <row r="323" spans="1:25" ht="30" x14ac:dyDescent="0.2">
      <c r="A323" s="61" t="s">
        <v>328</v>
      </c>
      <c r="B323" s="61">
        <v>1</v>
      </c>
      <c r="C323" s="61">
        <v>4</v>
      </c>
      <c r="D323" s="61">
        <v>1</v>
      </c>
      <c r="E323" s="61">
        <v>0</v>
      </c>
      <c r="F323" s="61">
        <v>3</v>
      </c>
      <c r="G323" s="61"/>
      <c r="H323" s="62" t="s">
        <v>23</v>
      </c>
      <c r="I323" s="63" t="s">
        <v>259</v>
      </c>
      <c r="J323" s="71">
        <f t="shared" ref="J323:R323" si="69">J326+J325+J324</f>
        <v>64643.899999999994</v>
      </c>
      <c r="K323" s="71">
        <f t="shared" si="69"/>
        <v>56983.4</v>
      </c>
      <c r="L323" s="71">
        <f t="shared" si="69"/>
        <v>77742.8</v>
      </c>
      <c r="M323" s="71">
        <f t="shared" si="69"/>
        <v>80717.2</v>
      </c>
      <c r="N323" s="71">
        <f t="shared" si="69"/>
        <v>60785</v>
      </c>
      <c r="O323" s="71">
        <f t="shared" si="69"/>
        <v>11000</v>
      </c>
      <c r="P323" s="71">
        <f t="shared" si="69"/>
        <v>14770</v>
      </c>
      <c r="Q323" s="71">
        <f t="shared" si="69"/>
        <v>58954.2</v>
      </c>
      <c r="R323" s="71">
        <f t="shared" si="69"/>
        <v>58954.2</v>
      </c>
      <c r="S323" s="71">
        <f>SUM(J323:R323)</f>
        <v>484550.7</v>
      </c>
      <c r="T323" s="67">
        <v>2024</v>
      </c>
    </row>
    <row r="324" spans="1:25" ht="15" x14ac:dyDescent="0.2">
      <c r="A324" s="61" t="s">
        <v>328</v>
      </c>
      <c r="B324" s="61">
        <v>1</v>
      </c>
      <c r="C324" s="61">
        <v>4</v>
      </c>
      <c r="D324" s="61">
        <v>1</v>
      </c>
      <c r="E324" s="61">
        <v>0</v>
      </c>
      <c r="F324" s="61">
        <v>3</v>
      </c>
      <c r="G324" s="61">
        <v>1</v>
      </c>
      <c r="H324" s="62" t="s">
        <v>218</v>
      </c>
      <c r="I324" s="63" t="s">
        <v>259</v>
      </c>
      <c r="J324" s="71">
        <f>23757.1+0.1</f>
        <v>23757.199999999997</v>
      </c>
      <c r="K324" s="71"/>
      <c r="L324" s="71">
        <v>28676.799999999999</v>
      </c>
      <c r="M324" s="71">
        <v>35969.800000000003</v>
      </c>
      <c r="N324" s="71">
        <v>10436.4</v>
      </c>
      <c r="O324" s="71"/>
      <c r="P324" s="71"/>
      <c r="Q324" s="71">
        <v>29755.599999999999</v>
      </c>
      <c r="R324" s="71">
        <v>29755.599999999999</v>
      </c>
      <c r="S324" s="71">
        <f t="shared" ref="S324:S332" si="70">SUM(J324:R324)</f>
        <v>158351.4</v>
      </c>
      <c r="T324" s="67">
        <v>2024</v>
      </c>
    </row>
    <row r="325" spans="1:25" ht="15" x14ac:dyDescent="0.2">
      <c r="A325" s="61" t="s">
        <v>328</v>
      </c>
      <c r="B325" s="61">
        <v>1</v>
      </c>
      <c r="C325" s="61">
        <v>4</v>
      </c>
      <c r="D325" s="61">
        <v>1</v>
      </c>
      <c r="E325" s="61">
        <v>0</v>
      </c>
      <c r="F325" s="61">
        <v>3</v>
      </c>
      <c r="G325" s="61">
        <v>2</v>
      </c>
      <c r="H325" s="62" t="s">
        <v>228</v>
      </c>
      <c r="I325" s="63" t="s">
        <v>259</v>
      </c>
      <c r="J325" s="71">
        <v>20074.7</v>
      </c>
      <c r="K325" s="71">
        <v>40086.400000000001</v>
      </c>
      <c r="L325" s="71">
        <v>27229.8</v>
      </c>
      <c r="M325" s="71">
        <v>21964.799999999999</v>
      </c>
      <c r="N325" s="71">
        <v>27182.6</v>
      </c>
      <c r="O325" s="71"/>
      <c r="P325" s="71"/>
      <c r="Q325" s="71">
        <v>18198.599999999999</v>
      </c>
      <c r="R325" s="71">
        <v>18198.599999999999</v>
      </c>
      <c r="S325" s="71">
        <f t="shared" si="70"/>
        <v>172935.50000000003</v>
      </c>
      <c r="T325" s="67">
        <v>2024</v>
      </c>
    </row>
    <row r="326" spans="1:25" ht="15" x14ac:dyDescent="0.2">
      <c r="A326" s="61" t="s">
        <v>328</v>
      </c>
      <c r="B326" s="61">
        <v>1</v>
      </c>
      <c r="C326" s="61">
        <v>4</v>
      </c>
      <c r="D326" s="61">
        <v>1</v>
      </c>
      <c r="E326" s="61">
        <v>0</v>
      </c>
      <c r="F326" s="61">
        <v>3</v>
      </c>
      <c r="G326" s="61">
        <v>3</v>
      </c>
      <c r="H326" s="62" t="s">
        <v>229</v>
      </c>
      <c r="I326" s="63" t="s">
        <v>259</v>
      </c>
      <c r="J326" s="71">
        <f>21156.3-344.3</f>
        <v>20812</v>
      </c>
      <c r="K326" s="71">
        <v>16897</v>
      </c>
      <c r="L326" s="71">
        <v>21836.2</v>
      </c>
      <c r="M326" s="71">
        <v>22782.6</v>
      </c>
      <c r="N326" s="71">
        <v>23166</v>
      </c>
      <c r="O326" s="71">
        <v>11000</v>
      </c>
      <c r="P326" s="71">
        <v>14770</v>
      </c>
      <c r="Q326" s="71">
        <v>11000</v>
      </c>
      <c r="R326" s="71">
        <v>11000</v>
      </c>
      <c r="S326" s="71">
        <f t="shared" si="70"/>
        <v>153263.79999999999</v>
      </c>
      <c r="T326" s="67">
        <v>2024</v>
      </c>
    </row>
    <row r="327" spans="1:25" ht="30" x14ac:dyDescent="0.2">
      <c r="A327" s="61" t="s">
        <v>328</v>
      </c>
      <c r="B327" s="61">
        <v>1</v>
      </c>
      <c r="C327" s="61">
        <v>4</v>
      </c>
      <c r="D327" s="61">
        <v>1</v>
      </c>
      <c r="E327" s="61">
        <v>0</v>
      </c>
      <c r="F327" s="61">
        <v>3</v>
      </c>
      <c r="G327" s="61"/>
      <c r="H327" s="62" t="s">
        <v>129</v>
      </c>
      <c r="I327" s="63" t="s">
        <v>260</v>
      </c>
      <c r="J327" s="53">
        <v>85</v>
      </c>
      <c r="K327" s="53">
        <v>68</v>
      </c>
      <c r="L327" s="53">
        <v>73</v>
      </c>
      <c r="M327" s="53">
        <v>86</v>
      </c>
      <c r="N327" s="53">
        <v>54</v>
      </c>
      <c r="O327" s="53">
        <v>75</v>
      </c>
      <c r="P327" s="53">
        <v>75</v>
      </c>
      <c r="Q327" s="53">
        <f>ROUND(Q323/905.3,0)</f>
        <v>65</v>
      </c>
      <c r="R327" s="53">
        <f>ROUND(R323/905.3,0)</f>
        <v>65</v>
      </c>
      <c r="S327" s="71">
        <f t="shared" si="70"/>
        <v>646</v>
      </c>
      <c r="T327" s="67">
        <v>2024</v>
      </c>
    </row>
    <row r="328" spans="1:25" ht="45" x14ac:dyDescent="0.2">
      <c r="A328" s="61" t="s">
        <v>328</v>
      </c>
      <c r="B328" s="61">
        <v>1</v>
      </c>
      <c r="C328" s="61">
        <v>4</v>
      </c>
      <c r="D328" s="61">
        <v>1</v>
      </c>
      <c r="E328" s="61">
        <v>0</v>
      </c>
      <c r="F328" s="61">
        <v>4</v>
      </c>
      <c r="G328" s="61"/>
      <c r="H328" s="62" t="s">
        <v>101</v>
      </c>
      <c r="I328" s="63" t="s">
        <v>259</v>
      </c>
      <c r="J328" s="71">
        <f t="shared" ref="J328:O328" si="71">J331+J330+J329</f>
        <v>97090.6</v>
      </c>
      <c r="K328" s="71">
        <f t="shared" si="71"/>
        <v>73507.100000000006</v>
      </c>
      <c r="L328" s="71">
        <f t="shared" si="71"/>
        <v>0</v>
      </c>
      <c r="M328" s="71">
        <f>M331+M330+M329</f>
        <v>0</v>
      </c>
      <c r="N328" s="71">
        <f>N331+N330+N329</f>
        <v>0</v>
      </c>
      <c r="O328" s="71">
        <f t="shared" si="71"/>
        <v>0</v>
      </c>
      <c r="P328" s="71">
        <f>P331+P330+P329</f>
        <v>0</v>
      </c>
      <c r="Q328" s="71">
        <f>Q331+Q330+Q329</f>
        <v>0</v>
      </c>
      <c r="R328" s="71">
        <f>R331+R330+R329</f>
        <v>0</v>
      </c>
      <c r="S328" s="71">
        <f t="shared" si="70"/>
        <v>170597.7</v>
      </c>
      <c r="T328" s="67">
        <v>2017</v>
      </c>
    </row>
    <row r="329" spans="1:25" ht="15" x14ac:dyDescent="0.2">
      <c r="A329" s="61" t="s">
        <v>328</v>
      </c>
      <c r="B329" s="61">
        <v>1</v>
      </c>
      <c r="C329" s="61">
        <v>4</v>
      </c>
      <c r="D329" s="61">
        <v>1</v>
      </c>
      <c r="E329" s="61">
        <v>0</v>
      </c>
      <c r="F329" s="61">
        <v>4</v>
      </c>
      <c r="G329" s="61">
        <v>1</v>
      </c>
      <c r="H329" s="62" t="s">
        <v>218</v>
      </c>
      <c r="I329" s="63" t="s">
        <v>259</v>
      </c>
      <c r="J329" s="71">
        <f>70451.7-23757.1</f>
        <v>46694.6</v>
      </c>
      <c r="K329" s="71">
        <v>33900.6</v>
      </c>
      <c r="L329" s="71">
        <v>0</v>
      </c>
      <c r="M329" s="71">
        <v>0</v>
      </c>
      <c r="N329" s="71">
        <v>0</v>
      </c>
      <c r="O329" s="71">
        <v>0</v>
      </c>
      <c r="P329" s="71">
        <v>0</v>
      </c>
      <c r="Q329" s="71">
        <v>0</v>
      </c>
      <c r="R329" s="71">
        <v>0</v>
      </c>
      <c r="S329" s="71">
        <f t="shared" si="70"/>
        <v>80595.199999999997</v>
      </c>
      <c r="T329" s="67">
        <v>2017</v>
      </c>
    </row>
    <row r="330" spans="1:25" ht="15" x14ac:dyDescent="0.2">
      <c r="A330" s="61" t="s">
        <v>328</v>
      </c>
      <c r="B330" s="61">
        <v>1</v>
      </c>
      <c r="C330" s="61">
        <v>4</v>
      </c>
      <c r="D330" s="61">
        <v>1</v>
      </c>
      <c r="E330" s="61">
        <v>0</v>
      </c>
      <c r="F330" s="61">
        <v>4</v>
      </c>
      <c r="G330" s="61">
        <v>2</v>
      </c>
      <c r="H330" s="62" t="s">
        <v>228</v>
      </c>
      <c r="I330" s="63" t="s">
        <v>259</v>
      </c>
      <c r="J330" s="71">
        <f>54768.9-20074.7</f>
        <v>34694.199999999997</v>
      </c>
      <c r="K330" s="71">
        <v>23946.400000000001</v>
      </c>
      <c r="L330" s="71">
        <v>0</v>
      </c>
      <c r="M330" s="71">
        <v>0</v>
      </c>
      <c r="N330" s="71">
        <v>0</v>
      </c>
      <c r="O330" s="71">
        <v>0</v>
      </c>
      <c r="P330" s="71">
        <v>0</v>
      </c>
      <c r="Q330" s="71">
        <v>0</v>
      </c>
      <c r="R330" s="71">
        <v>0</v>
      </c>
      <c r="S330" s="71">
        <f t="shared" si="70"/>
        <v>58640.6</v>
      </c>
      <c r="T330" s="67">
        <v>2017</v>
      </c>
    </row>
    <row r="331" spans="1:25" ht="15" x14ac:dyDescent="0.2">
      <c r="A331" s="61" t="s">
        <v>328</v>
      </c>
      <c r="B331" s="61">
        <v>1</v>
      </c>
      <c r="C331" s="61">
        <v>4</v>
      </c>
      <c r="D331" s="61">
        <v>1</v>
      </c>
      <c r="E331" s="61">
        <v>0</v>
      </c>
      <c r="F331" s="61">
        <v>4</v>
      </c>
      <c r="G331" s="61">
        <v>3</v>
      </c>
      <c r="H331" s="62" t="s">
        <v>229</v>
      </c>
      <c r="I331" s="63" t="s">
        <v>259</v>
      </c>
      <c r="J331" s="71">
        <f>10430.6+5271.2-0.1+0.1</f>
        <v>15701.8</v>
      </c>
      <c r="K331" s="71">
        <v>15660.1</v>
      </c>
      <c r="L331" s="71">
        <v>0</v>
      </c>
      <c r="M331" s="71">
        <v>0</v>
      </c>
      <c r="N331" s="71">
        <v>0</v>
      </c>
      <c r="O331" s="71">
        <v>0</v>
      </c>
      <c r="P331" s="71">
        <v>0</v>
      </c>
      <c r="Q331" s="71">
        <v>0</v>
      </c>
      <c r="R331" s="71">
        <v>0</v>
      </c>
      <c r="S331" s="71">
        <f t="shared" si="70"/>
        <v>31361.9</v>
      </c>
      <c r="T331" s="67">
        <v>2017</v>
      </c>
    </row>
    <row r="332" spans="1:25" ht="30" x14ac:dyDescent="0.2">
      <c r="A332" s="61" t="s">
        <v>328</v>
      </c>
      <c r="B332" s="61">
        <v>1</v>
      </c>
      <c r="C332" s="61">
        <v>4</v>
      </c>
      <c r="D332" s="61">
        <v>1</v>
      </c>
      <c r="E332" s="61">
        <v>0</v>
      </c>
      <c r="F332" s="61">
        <v>4</v>
      </c>
      <c r="G332" s="61"/>
      <c r="H332" s="62" t="s">
        <v>24</v>
      </c>
      <c r="I332" s="63" t="s">
        <v>260</v>
      </c>
      <c r="J332" s="53">
        <v>132</v>
      </c>
      <c r="K332" s="53">
        <v>64</v>
      </c>
      <c r="L332" s="53"/>
      <c r="M332" s="53"/>
      <c r="N332" s="53"/>
      <c r="O332" s="53"/>
      <c r="P332" s="53"/>
      <c r="Q332" s="53"/>
      <c r="R332" s="53"/>
      <c r="S332" s="71">
        <f t="shared" si="70"/>
        <v>196</v>
      </c>
      <c r="T332" s="67">
        <v>2017</v>
      </c>
    </row>
    <row r="333" spans="1:25" ht="42.75" x14ac:dyDescent="0.2">
      <c r="A333" s="84" t="s">
        <v>328</v>
      </c>
      <c r="B333" s="84">
        <v>1</v>
      </c>
      <c r="C333" s="84">
        <v>5</v>
      </c>
      <c r="D333" s="84">
        <v>0</v>
      </c>
      <c r="E333" s="84">
        <v>0</v>
      </c>
      <c r="F333" s="84">
        <v>0</v>
      </c>
      <c r="G333" s="84"/>
      <c r="H333" s="85" t="s">
        <v>54</v>
      </c>
      <c r="I333" s="86" t="s">
        <v>259</v>
      </c>
      <c r="J333" s="96">
        <f t="shared" ref="J333:S333" si="72">J334+J335+J336</f>
        <v>158533.4</v>
      </c>
      <c r="K333" s="96">
        <f t="shared" si="72"/>
        <v>31972.5</v>
      </c>
      <c r="L333" s="96">
        <f t="shared" si="72"/>
        <v>25833.600000000002</v>
      </c>
      <c r="M333" s="96">
        <f t="shared" si="72"/>
        <v>49983.8</v>
      </c>
      <c r="N333" s="96">
        <f t="shared" si="72"/>
        <v>47910.1</v>
      </c>
      <c r="O333" s="96">
        <f t="shared" si="72"/>
        <v>49174.3</v>
      </c>
      <c r="P333" s="96">
        <f t="shared" si="72"/>
        <v>49264.299999999996</v>
      </c>
      <c r="Q333" s="96">
        <f t="shared" si="72"/>
        <v>28065.1</v>
      </c>
      <c r="R333" s="96">
        <f t="shared" si="72"/>
        <v>28065.1</v>
      </c>
      <c r="S333" s="96">
        <f t="shared" si="72"/>
        <v>468802.2</v>
      </c>
      <c r="T333" s="88">
        <v>2024</v>
      </c>
      <c r="Y333" s="90"/>
    </row>
    <row r="334" spans="1:25" ht="15" x14ac:dyDescent="0.2">
      <c r="A334" s="61" t="s">
        <v>328</v>
      </c>
      <c r="B334" s="61">
        <v>1</v>
      </c>
      <c r="C334" s="61">
        <v>5</v>
      </c>
      <c r="D334" s="61">
        <v>0</v>
      </c>
      <c r="E334" s="61">
        <v>0</v>
      </c>
      <c r="F334" s="61">
        <v>0</v>
      </c>
      <c r="G334" s="61">
        <v>1</v>
      </c>
      <c r="H334" s="62" t="s">
        <v>218</v>
      </c>
      <c r="I334" s="63" t="s">
        <v>259</v>
      </c>
      <c r="J334" s="71">
        <f t="shared" ref="J334:O334" si="73">J356</f>
        <v>12423.8</v>
      </c>
      <c r="K334" s="71">
        <f t="shared" si="73"/>
        <v>9469</v>
      </c>
      <c r="L334" s="71">
        <f t="shared" si="73"/>
        <v>8262.1</v>
      </c>
      <c r="M334" s="71">
        <f t="shared" si="73"/>
        <v>9497.2999999999993</v>
      </c>
      <c r="N334" s="71">
        <f t="shared" si="73"/>
        <v>9146.6</v>
      </c>
      <c r="O334" s="71">
        <f t="shared" si="73"/>
        <v>11027.4</v>
      </c>
      <c r="P334" s="71">
        <f>P356</f>
        <v>11110.9</v>
      </c>
      <c r="Q334" s="71">
        <f>Q356</f>
        <v>10438.4</v>
      </c>
      <c r="R334" s="71">
        <f>R356</f>
        <v>10438.4</v>
      </c>
      <c r="S334" s="71">
        <f t="shared" ref="S334:S339" si="74">SUM(J334:R334)</f>
        <v>91813.89999999998</v>
      </c>
      <c r="T334" s="67">
        <v>2024</v>
      </c>
    </row>
    <row r="335" spans="1:25" ht="15" x14ac:dyDescent="0.2">
      <c r="A335" s="61" t="s">
        <v>328</v>
      </c>
      <c r="B335" s="61">
        <v>1</v>
      </c>
      <c r="C335" s="61">
        <v>5</v>
      </c>
      <c r="D335" s="61">
        <v>0</v>
      </c>
      <c r="E335" s="61">
        <v>0</v>
      </c>
      <c r="F335" s="61">
        <v>0</v>
      </c>
      <c r="G335" s="61">
        <v>2</v>
      </c>
      <c r="H335" s="62" t="s">
        <v>228</v>
      </c>
      <c r="I335" s="63" t="s">
        <v>259</v>
      </c>
      <c r="J335" s="71">
        <f t="shared" ref="J335:R335" si="75">J338+J357</f>
        <v>54495.9</v>
      </c>
      <c r="K335" s="71">
        <f t="shared" si="75"/>
        <v>15177.7</v>
      </c>
      <c r="L335" s="71">
        <f t="shared" si="75"/>
        <v>10081.200000000001</v>
      </c>
      <c r="M335" s="71">
        <f t="shared" si="75"/>
        <v>33227.800000000003</v>
      </c>
      <c r="N335" s="71">
        <f t="shared" si="75"/>
        <v>31736.5</v>
      </c>
      <c r="O335" s="71">
        <f t="shared" si="75"/>
        <v>30566.9</v>
      </c>
      <c r="P335" s="71">
        <f t="shared" si="75"/>
        <v>30573.399999999998</v>
      </c>
      <c r="Q335" s="71">
        <f t="shared" si="75"/>
        <v>10046.700000000001</v>
      </c>
      <c r="R335" s="71">
        <f t="shared" si="75"/>
        <v>10046.700000000001</v>
      </c>
      <c r="S335" s="71">
        <f t="shared" si="74"/>
        <v>225952.80000000002</v>
      </c>
      <c r="T335" s="67">
        <v>2024</v>
      </c>
    </row>
    <row r="336" spans="1:25" ht="15" x14ac:dyDescent="0.2">
      <c r="A336" s="61" t="s">
        <v>328</v>
      </c>
      <c r="B336" s="61">
        <v>1</v>
      </c>
      <c r="C336" s="61">
        <v>5</v>
      </c>
      <c r="D336" s="61">
        <v>0</v>
      </c>
      <c r="E336" s="61">
        <v>0</v>
      </c>
      <c r="F336" s="61">
        <v>0</v>
      </c>
      <c r="G336" s="61">
        <v>3</v>
      </c>
      <c r="H336" s="62" t="s">
        <v>229</v>
      </c>
      <c r="I336" s="63" t="s">
        <v>259</v>
      </c>
      <c r="J336" s="71">
        <f t="shared" ref="J336:O336" si="76">J339</f>
        <v>91613.7</v>
      </c>
      <c r="K336" s="71">
        <f t="shared" si="76"/>
        <v>7325.8</v>
      </c>
      <c r="L336" s="71">
        <f t="shared" si="76"/>
        <v>7490.3</v>
      </c>
      <c r="M336" s="71">
        <f t="shared" si="76"/>
        <v>7258.7</v>
      </c>
      <c r="N336" s="71">
        <f t="shared" si="76"/>
        <v>7027</v>
      </c>
      <c r="O336" s="71">
        <f t="shared" si="76"/>
        <v>7580</v>
      </c>
      <c r="P336" s="71">
        <f>P339</f>
        <v>7580</v>
      </c>
      <c r="Q336" s="71">
        <f>Q339</f>
        <v>7580</v>
      </c>
      <c r="R336" s="71">
        <f>R339</f>
        <v>7580</v>
      </c>
      <c r="S336" s="71">
        <f t="shared" si="74"/>
        <v>151035.5</v>
      </c>
      <c r="T336" s="67">
        <v>2024</v>
      </c>
    </row>
    <row r="337" spans="1:26" ht="15" x14ac:dyDescent="0.2">
      <c r="A337" s="61" t="s">
        <v>328</v>
      </c>
      <c r="B337" s="61">
        <v>1</v>
      </c>
      <c r="C337" s="61">
        <v>5</v>
      </c>
      <c r="D337" s="61">
        <v>1</v>
      </c>
      <c r="E337" s="61">
        <v>0</v>
      </c>
      <c r="F337" s="61">
        <v>0</v>
      </c>
      <c r="G337" s="61"/>
      <c r="H337" s="62" t="s">
        <v>268</v>
      </c>
      <c r="I337" s="63" t="s">
        <v>259</v>
      </c>
      <c r="J337" s="71">
        <f t="shared" ref="J337:O337" si="77">J338+J339</f>
        <v>140745.29999999999</v>
      </c>
      <c r="K337" s="71">
        <f t="shared" si="77"/>
        <v>7325.8</v>
      </c>
      <c r="L337" s="71">
        <f t="shared" si="77"/>
        <v>7490.3</v>
      </c>
      <c r="M337" s="71">
        <f t="shared" si="77"/>
        <v>7258.7</v>
      </c>
      <c r="N337" s="71">
        <f t="shared" si="77"/>
        <v>7027</v>
      </c>
      <c r="O337" s="71">
        <f t="shared" si="77"/>
        <v>7580</v>
      </c>
      <c r="P337" s="71">
        <f>P338+P339</f>
        <v>7580</v>
      </c>
      <c r="Q337" s="71">
        <f>Q338+Q339</f>
        <v>7580</v>
      </c>
      <c r="R337" s="71">
        <f>R338+R339</f>
        <v>7580</v>
      </c>
      <c r="S337" s="71">
        <f t="shared" si="74"/>
        <v>200167.09999999998</v>
      </c>
      <c r="T337" s="67">
        <v>2024</v>
      </c>
      <c r="Z337" s="90"/>
    </row>
    <row r="338" spans="1:26" ht="15" x14ac:dyDescent="0.2">
      <c r="A338" s="61" t="s">
        <v>328</v>
      </c>
      <c r="B338" s="61">
        <v>1</v>
      </c>
      <c r="C338" s="61">
        <v>5</v>
      </c>
      <c r="D338" s="61">
        <v>1</v>
      </c>
      <c r="E338" s="61">
        <v>0</v>
      </c>
      <c r="F338" s="61">
        <v>0</v>
      </c>
      <c r="G338" s="61">
        <v>2</v>
      </c>
      <c r="H338" s="62" t="s">
        <v>228</v>
      </c>
      <c r="I338" s="63" t="s">
        <v>259</v>
      </c>
      <c r="J338" s="71">
        <f t="shared" ref="J338:R338" si="78">J347</f>
        <v>49131.6</v>
      </c>
      <c r="K338" s="71">
        <f t="shared" si="78"/>
        <v>0</v>
      </c>
      <c r="L338" s="71">
        <f t="shared" si="78"/>
        <v>0</v>
      </c>
      <c r="M338" s="71">
        <f t="shared" si="78"/>
        <v>0</v>
      </c>
      <c r="N338" s="71">
        <f t="shared" si="78"/>
        <v>0</v>
      </c>
      <c r="O338" s="71">
        <f t="shared" si="78"/>
        <v>0</v>
      </c>
      <c r="P338" s="71">
        <f t="shared" si="78"/>
        <v>0</v>
      </c>
      <c r="Q338" s="71">
        <f t="shared" si="78"/>
        <v>0</v>
      </c>
      <c r="R338" s="71">
        <f t="shared" si="78"/>
        <v>0</v>
      </c>
      <c r="S338" s="71">
        <f t="shared" si="74"/>
        <v>49131.6</v>
      </c>
      <c r="T338" s="67">
        <v>2016</v>
      </c>
    </row>
    <row r="339" spans="1:26" ht="15" x14ac:dyDescent="0.2">
      <c r="A339" s="61" t="s">
        <v>328</v>
      </c>
      <c r="B339" s="61">
        <v>1</v>
      </c>
      <c r="C339" s="61">
        <v>5</v>
      </c>
      <c r="D339" s="61">
        <v>1</v>
      </c>
      <c r="E339" s="61">
        <v>0</v>
      </c>
      <c r="F339" s="61">
        <v>0</v>
      </c>
      <c r="G339" s="61">
        <v>3</v>
      </c>
      <c r="H339" s="62" t="s">
        <v>229</v>
      </c>
      <c r="I339" s="63" t="s">
        <v>259</v>
      </c>
      <c r="J339" s="71">
        <f t="shared" ref="J339:R339" si="79">J343+J345+J349</f>
        <v>91613.7</v>
      </c>
      <c r="K339" s="71">
        <f t="shared" si="79"/>
        <v>7325.8</v>
      </c>
      <c r="L339" s="71">
        <f t="shared" si="79"/>
        <v>7490.3</v>
      </c>
      <c r="M339" s="71">
        <f t="shared" si="79"/>
        <v>7258.7</v>
      </c>
      <c r="N339" s="71">
        <f t="shared" si="79"/>
        <v>7027</v>
      </c>
      <c r="O339" s="71">
        <f t="shared" si="79"/>
        <v>7580</v>
      </c>
      <c r="P339" s="71">
        <f t="shared" si="79"/>
        <v>7580</v>
      </c>
      <c r="Q339" s="71">
        <f t="shared" si="79"/>
        <v>7580</v>
      </c>
      <c r="R339" s="71">
        <f t="shared" si="79"/>
        <v>7580</v>
      </c>
      <c r="S339" s="71">
        <f t="shared" si="74"/>
        <v>151035.5</v>
      </c>
      <c r="T339" s="67">
        <v>2024</v>
      </c>
    </row>
    <row r="340" spans="1:26" ht="45" x14ac:dyDescent="0.2">
      <c r="A340" s="61" t="s">
        <v>328</v>
      </c>
      <c r="B340" s="61">
        <v>1</v>
      </c>
      <c r="C340" s="61">
        <v>5</v>
      </c>
      <c r="D340" s="61">
        <v>1</v>
      </c>
      <c r="E340" s="61">
        <v>0</v>
      </c>
      <c r="F340" s="61">
        <v>0</v>
      </c>
      <c r="G340" s="61"/>
      <c r="H340" s="62" t="s">
        <v>131</v>
      </c>
      <c r="I340" s="63" t="s">
        <v>261</v>
      </c>
      <c r="J340" s="71">
        <v>3.2167854775875728</v>
      </c>
      <c r="K340" s="71">
        <v>0</v>
      </c>
      <c r="L340" s="71">
        <v>0</v>
      </c>
      <c r="M340" s="71">
        <v>0</v>
      </c>
      <c r="N340" s="71">
        <v>0</v>
      </c>
      <c r="O340" s="71">
        <v>0</v>
      </c>
      <c r="P340" s="71">
        <v>0</v>
      </c>
      <c r="Q340" s="71">
        <v>0</v>
      </c>
      <c r="R340" s="71">
        <v>0</v>
      </c>
      <c r="S340" s="71">
        <v>3.2</v>
      </c>
      <c r="T340" s="67">
        <v>2016</v>
      </c>
    </row>
    <row r="341" spans="1:26" ht="45" x14ac:dyDescent="0.2">
      <c r="A341" s="61" t="s">
        <v>328</v>
      </c>
      <c r="B341" s="61">
        <v>1</v>
      </c>
      <c r="C341" s="61">
        <v>5</v>
      </c>
      <c r="D341" s="61">
        <v>1</v>
      </c>
      <c r="E341" s="61">
        <v>0</v>
      </c>
      <c r="F341" s="61">
        <v>0</v>
      </c>
      <c r="G341" s="61"/>
      <c r="H341" s="62" t="s">
        <v>25</v>
      </c>
      <c r="I341" s="63" t="s">
        <v>261</v>
      </c>
      <c r="J341" s="66">
        <v>3.2727272727272729</v>
      </c>
      <c r="K341" s="66">
        <v>1.4545454545454546</v>
      </c>
      <c r="L341" s="66">
        <v>1.7793594306049825</v>
      </c>
      <c r="M341" s="66">
        <v>3.8910505836575875</v>
      </c>
      <c r="N341" s="66">
        <v>2.7131782945736433</v>
      </c>
      <c r="O341" s="66">
        <v>2.6923076923076925</v>
      </c>
      <c r="P341" s="66">
        <v>2.6415094339622645</v>
      </c>
      <c r="Q341" s="66">
        <v>2.5454545454545454</v>
      </c>
      <c r="R341" s="66">
        <v>2.5454545454545454</v>
      </c>
      <c r="S341" s="66">
        <f>R341</f>
        <v>2.5454545454545454</v>
      </c>
      <c r="T341" s="67">
        <v>2024</v>
      </c>
    </row>
    <row r="342" spans="1:26" ht="45" x14ac:dyDescent="0.2">
      <c r="A342" s="61" t="s">
        <v>328</v>
      </c>
      <c r="B342" s="61">
        <v>1</v>
      </c>
      <c r="C342" s="61">
        <v>5</v>
      </c>
      <c r="D342" s="61">
        <v>1</v>
      </c>
      <c r="E342" s="61">
        <v>0</v>
      </c>
      <c r="F342" s="61">
        <v>0</v>
      </c>
      <c r="G342" s="61"/>
      <c r="H342" s="62" t="s">
        <v>397</v>
      </c>
      <c r="I342" s="63" t="s">
        <v>261</v>
      </c>
      <c r="J342" s="66"/>
      <c r="K342" s="66">
        <v>15.384615384615385</v>
      </c>
      <c r="L342" s="66">
        <v>4.5454545454545459</v>
      </c>
      <c r="M342" s="66">
        <v>48</v>
      </c>
      <c r="N342" s="66">
        <v>47.445255474452551</v>
      </c>
      <c r="O342" s="66">
        <v>77.777777777777786</v>
      </c>
      <c r="P342" s="66">
        <v>78.571428571428569</v>
      </c>
      <c r="Q342" s="66">
        <v>4.5454545454545459</v>
      </c>
      <c r="R342" s="66">
        <v>4.5454545454545459</v>
      </c>
      <c r="S342" s="66">
        <f>R342</f>
        <v>4.5454545454545459</v>
      </c>
      <c r="T342" s="67">
        <v>2024</v>
      </c>
    </row>
    <row r="343" spans="1:26" ht="30" x14ac:dyDescent="0.2">
      <c r="A343" s="61" t="s">
        <v>328</v>
      </c>
      <c r="B343" s="61">
        <v>1</v>
      </c>
      <c r="C343" s="61">
        <v>5</v>
      </c>
      <c r="D343" s="61">
        <v>1</v>
      </c>
      <c r="E343" s="61">
        <v>0</v>
      </c>
      <c r="F343" s="61">
        <v>1</v>
      </c>
      <c r="G343" s="61">
        <v>3</v>
      </c>
      <c r="H343" s="62" t="s">
        <v>132</v>
      </c>
      <c r="I343" s="63" t="s">
        <v>259</v>
      </c>
      <c r="J343" s="71">
        <f>10525.1-404.8</f>
        <v>10120.300000000001</v>
      </c>
      <c r="K343" s="71">
        <v>4390.1000000000004</v>
      </c>
      <c r="L343" s="71">
        <v>7490.3</v>
      </c>
      <c r="M343" s="71">
        <v>7258.7</v>
      </c>
      <c r="N343" s="71">
        <v>7027</v>
      </c>
      <c r="O343" s="71">
        <v>7580</v>
      </c>
      <c r="P343" s="71">
        <v>7580</v>
      </c>
      <c r="Q343" s="71">
        <v>7580</v>
      </c>
      <c r="R343" s="71">
        <v>7580</v>
      </c>
      <c r="S343" s="71">
        <f>SUM(J343:R343)</f>
        <v>66606.399999999994</v>
      </c>
      <c r="T343" s="67">
        <v>2024</v>
      </c>
    </row>
    <row r="344" spans="1:26" ht="30" x14ac:dyDescent="0.2">
      <c r="A344" s="61" t="s">
        <v>328</v>
      </c>
      <c r="B344" s="61">
        <v>1</v>
      </c>
      <c r="C344" s="61">
        <v>5</v>
      </c>
      <c r="D344" s="61">
        <v>1</v>
      </c>
      <c r="E344" s="61">
        <v>0</v>
      </c>
      <c r="F344" s="61">
        <v>1</v>
      </c>
      <c r="G344" s="61"/>
      <c r="H344" s="62" t="s">
        <v>62</v>
      </c>
      <c r="I344" s="63" t="s">
        <v>260</v>
      </c>
      <c r="J344" s="53">
        <v>8</v>
      </c>
      <c r="K344" s="53">
        <v>4</v>
      </c>
      <c r="L344" s="53">
        <v>5</v>
      </c>
      <c r="M344" s="53">
        <v>6</v>
      </c>
      <c r="N344" s="53">
        <v>7</v>
      </c>
      <c r="O344" s="53">
        <v>7</v>
      </c>
      <c r="P344" s="53">
        <v>7</v>
      </c>
      <c r="Q344" s="53">
        <v>7</v>
      </c>
      <c r="R344" s="53">
        <v>7</v>
      </c>
      <c r="S344" s="71">
        <f t="shared" ref="S344:S357" si="80">SUM(J344:R344)</f>
        <v>58</v>
      </c>
      <c r="T344" s="67">
        <v>2024</v>
      </c>
    </row>
    <row r="345" spans="1:26" ht="75" x14ac:dyDescent="0.2">
      <c r="A345" s="61" t="s">
        <v>328</v>
      </c>
      <c r="B345" s="61">
        <v>1</v>
      </c>
      <c r="C345" s="61">
        <v>5</v>
      </c>
      <c r="D345" s="61">
        <v>1</v>
      </c>
      <c r="E345" s="61">
        <v>0</v>
      </c>
      <c r="F345" s="61">
        <v>2</v>
      </c>
      <c r="G345" s="61">
        <v>3</v>
      </c>
      <c r="H345" s="62" t="s">
        <v>29</v>
      </c>
      <c r="I345" s="63" t="s">
        <v>259</v>
      </c>
      <c r="J345" s="71">
        <f>2981.4+0.1-0.1</f>
        <v>2981.4</v>
      </c>
      <c r="K345" s="71">
        <v>2935.7</v>
      </c>
      <c r="L345" s="71">
        <v>0</v>
      </c>
      <c r="M345" s="71">
        <v>0</v>
      </c>
      <c r="N345" s="71">
        <v>0</v>
      </c>
      <c r="O345" s="71">
        <v>0</v>
      </c>
      <c r="P345" s="71">
        <v>0</v>
      </c>
      <c r="Q345" s="71">
        <v>0</v>
      </c>
      <c r="R345" s="71">
        <v>0</v>
      </c>
      <c r="S345" s="71">
        <f t="shared" si="80"/>
        <v>5917.1</v>
      </c>
      <c r="T345" s="67">
        <v>2017</v>
      </c>
    </row>
    <row r="346" spans="1:26" ht="30" x14ac:dyDescent="0.2">
      <c r="A346" s="61" t="s">
        <v>328</v>
      </c>
      <c r="B346" s="61">
        <v>1</v>
      </c>
      <c r="C346" s="61">
        <v>5</v>
      </c>
      <c r="D346" s="61">
        <v>1</v>
      </c>
      <c r="E346" s="61">
        <v>0</v>
      </c>
      <c r="F346" s="61">
        <v>2</v>
      </c>
      <c r="G346" s="61"/>
      <c r="H346" s="62" t="s">
        <v>133</v>
      </c>
      <c r="I346" s="63" t="s">
        <v>260</v>
      </c>
      <c r="J346" s="53">
        <v>2</v>
      </c>
      <c r="K346" s="53">
        <v>2</v>
      </c>
      <c r="L346" s="53"/>
      <c r="M346" s="53"/>
      <c r="N346" s="53"/>
      <c r="O346" s="53"/>
      <c r="P346" s="53"/>
      <c r="Q346" s="53"/>
      <c r="R346" s="53"/>
      <c r="S346" s="71">
        <f t="shared" si="80"/>
        <v>4</v>
      </c>
      <c r="T346" s="67">
        <v>2017</v>
      </c>
    </row>
    <row r="347" spans="1:26" ht="30" x14ac:dyDescent="0.2">
      <c r="A347" s="61" t="s">
        <v>328</v>
      </c>
      <c r="B347" s="61">
        <v>1</v>
      </c>
      <c r="C347" s="61">
        <v>5</v>
      </c>
      <c r="D347" s="61">
        <v>1</v>
      </c>
      <c r="E347" s="61">
        <v>0</v>
      </c>
      <c r="F347" s="61">
        <v>3</v>
      </c>
      <c r="G347" s="61">
        <v>2</v>
      </c>
      <c r="H347" s="62" t="s">
        <v>43</v>
      </c>
      <c r="I347" s="63" t="s">
        <v>259</v>
      </c>
      <c r="J347" s="71">
        <v>49131.6</v>
      </c>
      <c r="K347" s="71">
        <v>0</v>
      </c>
      <c r="L347" s="71">
        <v>0</v>
      </c>
      <c r="M347" s="71">
        <v>0</v>
      </c>
      <c r="N347" s="71">
        <v>0</v>
      </c>
      <c r="O347" s="71">
        <v>0</v>
      </c>
      <c r="P347" s="71">
        <v>0</v>
      </c>
      <c r="Q347" s="71">
        <v>0</v>
      </c>
      <c r="R347" s="71">
        <v>0</v>
      </c>
      <c r="S347" s="71">
        <f t="shared" si="80"/>
        <v>49131.6</v>
      </c>
      <c r="T347" s="67">
        <v>2016</v>
      </c>
    </row>
    <row r="348" spans="1:26" ht="30" x14ac:dyDescent="0.2">
      <c r="A348" s="61" t="s">
        <v>328</v>
      </c>
      <c r="B348" s="61">
        <v>1</v>
      </c>
      <c r="C348" s="61">
        <v>5</v>
      </c>
      <c r="D348" s="61">
        <v>1</v>
      </c>
      <c r="E348" s="61">
        <v>0</v>
      </c>
      <c r="F348" s="61">
        <v>3</v>
      </c>
      <c r="G348" s="61"/>
      <c r="H348" s="62" t="s">
        <v>270</v>
      </c>
      <c r="I348" s="63" t="s">
        <v>323</v>
      </c>
      <c r="J348" s="71">
        <v>5970</v>
      </c>
      <c r="K348" s="66"/>
      <c r="L348" s="66"/>
      <c r="M348" s="66"/>
      <c r="N348" s="66"/>
      <c r="O348" s="66"/>
      <c r="P348" s="66"/>
      <c r="Q348" s="66"/>
      <c r="R348" s="66"/>
      <c r="S348" s="71">
        <f t="shared" si="80"/>
        <v>5970</v>
      </c>
      <c r="T348" s="67">
        <v>2016</v>
      </c>
    </row>
    <row r="349" spans="1:26" ht="45" x14ac:dyDescent="0.2">
      <c r="A349" s="61" t="s">
        <v>328</v>
      </c>
      <c r="B349" s="61">
        <v>1</v>
      </c>
      <c r="C349" s="61">
        <v>5</v>
      </c>
      <c r="D349" s="61">
        <v>1</v>
      </c>
      <c r="E349" s="61">
        <v>0</v>
      </c>
      <c r="F349" s="61">
        <v>4</v>
      </c>
      <c r="G349" s="61">
        <v>3</v>
      </c>
      <c r="H349" s="62" t="s">
        <v>134</v>
      </c>
      <c r="I349" s="63" t="s">
        <v>259</v>
      </c>
      <c r="J349" s="71">
        <f>7255.3+70844+412.7</f>
        <v>78512</v>
      </c>
      <c r="K349" s="71">
        <v>0</v>
      </c>
      <c r="L349" s="71">
        <v>0</v>
      </c>
      <c r="M349" s="71">
        <v>0</v>
      </c>
      <c r="N349" s="71">
        <v>0</v>
      </c>
      <c r="O349" s="71">
        <v>0</v>
      </c>
      <c r="P349" s="71">
        <v>0</v>
      </c>
      <c r="Q349" s="71">
        <v>0</v>
      </c>
      <c r="R349" s="71">
        <v>0</v>
      </c>
      <c r="S349" s="71">
        <f t="shared" si="80"/>
        <v>78512</v>
      </c>
      <c r="T349" s="67">
        <v>2016</v>
      </c>
    </row>
    <row r="350" spans="1:26" ht="30" x14ac:dyDescent="0.2">
      <c r="A350" s="61" t="s">
        <v>328</v>
      </c>
      <c r="B350" s="61">
        <v>1</v>
      </c>
      <c r="C350" s="61">
        <v>5</v>
      </c>
      <c r="D350" s="61">
        <v>1</v>
      </c>
      <c r="E350" s="61">
        <v>0</v>
      </c>
      <c r="F350" s="61">
        <v>4</v>
      </c>
      <c r="G350" s="61"/>
      <c r="H350" s="62" t="s">
        <v>230</v>
      </c>
      <c r="I350" s="63" t="s">
        <v>258</v>
      </c>
      <c r="J350" s="66">
        <v>7063.2</v>
      </c>
      <c r="K350" s="66"/>
      <c r="L350" s="66"/>
      <c r="M350" s="66"/>
      <c r="N350" s="66"/>
      <c r="O350" s="66"/>
      <c r="P350" s="66"/>
      <c r="Q350" s="66"/>
      <c r="R350" s="66"/>
      <c r="S350" s="71">
        <f>SUM(J350:R350)</f>
        <v>7063.2</v>
      </c>
      <c r="T350" s="67">
        <v>2016</v>
      </c>
    </row>
    <row r="351" spans="1:26" ht="30" x14ac:dyDescent="0.2">
      <c r="A351" s="61" t="s">
        <v>328</v>
      </c>
      <c r="B351" s="61">
        <v>1</v>
      </c>
      <c r="C351" s="61">
        <v>5</v>
      </c>
      <c r="D351" s="61">
        <v>1</v>
      </c>
      <c r="E351" s="61">
        <v>0</v>
      </c>
      <c r="F351" s="61">
        <v>4</v>
      </c>
      <c r="G351" s="61"/>
      <c r="H351" s="62" t="s">
        <v>44</v>
      </c>
      <c r="I351" s="63" t="s">
        <v>92</v>
      </c>
      <c r="J351" s="71">
        <v>9.3000000000000007</v>
      </c>
      <c r="K351" s="66"/>
      <c r="L351" s="66"/>
      <c r="M351" s="66"/>
      <c r="N351" s="66"/>
      <c r="O351" s="66"/>
      <c r="P351" s="66"/>
      <c r="Q351" s="66"/>
      <c r="R351" s="66"/>
      <c r="S351" s="71">
        <f t="shared" si="80"/>
        <v>9.3000000000000007</v>
      </c>
      <c r="T351" s="67">
        <v>2016</v>
      </c>
    </row>
    <row r="352" spans="1:26" ht="30" x14ac:dyDescent="0.2">
      <c r="A352" s="61" t="s">
        <v>328</v>
      </c>
      <c r="B352" s="61">
        <v>1</v>
      </c>
      <c r="C352" s="61">
        <v>5</v>
      </c>
      <c r="D352" s="61">
        <v>1</v>
      </c>
      <c r="E352" s="61">
        <v>0</v>
      </c>
      <c r="F352" s="61">
        <v>4</v>
      </c>
      <c r="G352" s="61"/>
      <c r="H352" s="62" t="s">
        <v>46</v>
      </c>
      <c r="I352" s="63" t="s">
        <v>258</v>
      </c>
      <c r="J352" s="71">
        <v>7360</v>
      </c>
      <c r="K352" s="66"/>
      <c r="L352" s="66"/>
      <c r="M352" s="66"/>
      <c r="N352" s="66"/>
      <c r="O352" s="66"/>
      <c r="P352" s="66"/>
      <c r="Q352" s="66"/>
      <c r="R352" s="66"/>
      <c r="S352" s="71">
        <f t="shared" si="80"/>
        <v>7360</v>
      </c>
      <c r="T352" s="67">
        <v>2016</v>
      </c>
    </row>
    <row r="353" spans="1:26" ht="45" x14ac:dyDescent="0.2">
      <c r="A353" s="61" t="s">
        <v>328</v>
      </c>
      <c r="B353" s="61">
        <v>1</v>
      </c>
      <c r="C353" s="61">
        <v>5</v>
      </c>
      <c r="D353" s="61">
        <v>1</v>
      </c>
      <c r="E353" s="61">
        <v>0</v>
      </c>
      <c r="F353" s="61">
        <v>5</v>
      </c>
      <c r="G353" s="61"/>
      <c r="H353" s="62" t="s">
        <v>452</v>
      </c>
      <c r="I353" s="63" t="s">
        <v>248</v>
      </c>
      <c r="J353" s="71" t="s">
        <v>89</v>
      </c>
      <c r="K353" s="66" t="s">
        <v>89</v>
      </c>
      <c r="L353" s="66" t="s">
        <v>89</v>
      </c>
      <c r="M353" s="66" t="s">
        <v>89</v>
      </c>
      <c r="N353" s="66" t="s">
        <v>262</v>
      </c>
      <c r="O353" s="66" t="s">
        <v>262</v>
      </c>
      <c r="P353" s="66" t="s">
        <v>262</v>
      </c>
      <c r="Q353" s="66" t="s">
        <v>262</v>
      </c>
      <c r="R353" s="66" t="s">
        <v>262</v>
      </c>
      <c r="S353" s="71" t="s">
        <v>262</v>
      </c>
      <c r="T353" s="67">
        <v>2024</v>
      </c>
    </row>
    <row r="354" spans="1:26" ht="15" x14ac:dyDescent="0.2">
      <c r="A354" s="61" t="s">
        <v>328</v>
      </c>
      <c r="B354" s="61">
        <v>1</v>
      </c>
      <c r="C354" s="61">
        <v>5</v>
      </c>
      <c r="D354" s="61">
        <v>1</v>
      </c>
      <c r="E354" s="61">
        <v>0</v>
      </c>
      <c r="F354" s="61">
        <v>5</v>
      </c>
      <c r="G354" s="61"/>
      <c r="H354" s="62" t="s">
        <v>451</v>
      </c>
      <c r="I354" s="63" t="s">
        <v>260</v>
      </c>
      <c r="J354" s="53">
        <v>0</v>
      </c>
      <c r="K354" s="95">
        <v>0</v>
      </c>
      <c r="L354" s="95">
        <v>0</v>
      </c>
      <c r="M354" s="95">
        <v>0</v>
      </c>
      <c r="N354" s="95">
        <v>4</v>
      </c>
      <c r="O354" s="95">
        <v>4</v>
      </c>
      <c r="P354" s="95">
        <v>5</v>
      </c>
      <c r="Q354" s="95">
        <v>5</v>
      </c>
      <c r="R354" s="95">
        <v>5</v>
      </c>
      <c r="S354" s="95">
        <v>23</v>
      </c>
      <c r="T354" s="67">
        <v>2024</v>
      </c>
    </row>
    <row r="355" spans="1:26" ht="45" x14ac:dyDescent="0.2">
      <c r="A355" s="61" t="s">
        <v>328</v>
      </c>
      <c r="B355" s="61">
        <v>1</v>
      </c>
      <c r="C355" s="61">
        <v>5</v>
      </c>
      <c r="D355" s="61">
        <v>2</v>
      </c>
      <c r="E355" s="61">
        <v>0</v>
      </c>
      <c r="F355" s="61">
        <v>0</v>
      </c>
      <c r="G355" s="61"/>
      <c r="H355" s="62" t="s">
        <v>269</v>
      </c>
      <c r="I355" s="63" t="s">
        <v>259</v>
      </c>
      <c r="J355" s="71">
        <f>J356+J357</f>
        <v>17788.099999999999</v>
      </c>
      <c r="K355" s="71">
        <f>K356+K357</f>
        <v>24646.7</v>
      </c>
      <c r="L355" s="71">
        <f>L356+L357</f>
        <v>18343.300000000003</v>
      </c>
      <c r="M355" s="71">
        <f t="shared" ref="M355:R355" si="81">M356+M357</f>
        <v>42725.100000000006</v>
      </c>
      <c r="N355" s="71">
        <f t="shared" si="81"/>
        <v>40883.1</v>
      </c>
      <c r="O355" s="71">
        <f t="shared" si="81"/>
        <v>41594.300000000003</v>
      </c>
      <c r="P355" s="71">
        <f t="shared" si="81"/>
        <v>41684.299999999996</v>
      </c>
      <c r="Q355" s="71">
        <f t="shared" si="81"/>
        <v>20485.099999999999</v>
      </c>
      <c r="R355" s="71">
        <f t="shared" si="81"/>
        <v>20485.099999999999</v>
      </c>
      <c r="S355" s="71">
        <f>SUM(J355:R355)</f>
        <v>268635.10000000003</v>
      </c>
      <c r="T355" s="67">
        <v>2024</v>
      </c>
      <c r="Z355" s="90"/>
    </row>
    <row r="356" spans="1:26" ht="15" x14ac:dyDescent="0.2">
      <c r="A356" s="61" t="s">
        <v>328</v>
      </c>
      <c r="B356" s="61">
        <v>1</v>
      </c>
      <c r="C356" s="61">
        <v>5</v>
      </c>
      <c r="D356" s="61">
        <v>2</v>
      </c>
      <c r="E356" s="61">
        <v>0</v>
      </c>
      <c r="F356" s="61">
        <v>0</v>
      </c>
      <c r="G356" s="61">
        <v>1</v>
      </c>
      <c r="H356" s="62" t="s">
        <v>218</v>
      </c>
      <c r="I356" s="63" t="s">
        <v>259</v>
      </c>
      <c r="J356" s="71">
        <f t="shared" ref="J356:L357" si="82">J363</f>
        <v>12423.8</v>
      </c>
      <c r="K356" s="71">
        <f t="shared" si="82"/>
        <v>9469</v>
      </c>
      <c r="L356" s="71">
        <f t="shared" si="82"/>
        <v>8262.1</v>
      </c>
      <c r="M356" s="71">
        <f t="shared" ref="M356:O357" si="83">M363</f>
        <v>9497.2999999999993</v>
      </c>
      <c r="N356" s="71">
        <f t="shared" si="83"/>
        <v>9146.6</v>
      </c>
      <c r="O356" s="71">
        <f t="shared" si="83"/>
        <v>11027.4</v>
      </c>
      <c r="P356" s="71">
        <f t="shared" ref="P356:R357" si="84">P363</f>
        <v>11110.9</v>
      </c>
      <c r="Q356" s="71">
        <f t="shared" si="84"/>
        <v>10438.4</v>
      </c>
      <c r="R356" s="71">
        <f t="shared" si="84"/>
        <v>10438.4</v>
      </c>
      <c r="S356" s="71">
        <f t="shared" si="80"/>
        <v>91813.89999999998</v>
      </c>
      <c r="T356" s="67">
        <v>2024</v>
      </c>
    </row>
    <row r="357" spans="1:26" ht="15" x14ac:dyDescent="0.2">
      <c r="A357" s="61" t="s">
        <v>328</v>
      </c>
      <c r="B357" s="61">
        <v>1</v>
      </c>
      <c r="C357" s="61">
        <v>5</v>
      </c>
      <c r="D357" s="61">
        <v>2</v>
      </c>
      <c r="E357" s="61">
        <v>0</v>
      </c>
      <c r="F357" s="61">
        <v>0</v>
      </c>
      <c r="G357" s="61">
        <v>2</v>
      </c>
      <c r="H357" s="62" t="s">
        <v>228</v>
      </c>
      <c r="I357" s="63" t="s">
        <v>259</v>
      </c>
      <c r="J357" s="71">
        <f t="shared" si="82"/>
        <v>5364.3</v>
      </c>
      <c r="K357" s="71">
        <f t="shared" si="82"/>
        <v>15177.7</v>
      </c>
      <c r="L357" s="71">
        <f t="shared" si="82"/>
        <v>10081.200000000001</v>
      </c>
      <c r="M357" s="71">
        <v>33227.800000000003</v>
      </c>
      <c r="N357" s="71">
        <f t="shared" si="83"/>
        <v>31736.5</v>
      </c>
      <c r="O357" s="71">
        <f t="shared" si="83"/>
        <v>30566.9</v>
      </c>
      <c r="P357" s="71">
        <f t="shared" si="84"/>
        <v>30573.399999999998</v>
      </c>
      <c r="Q357" s="71">
        <f t="shared" si="84"/>
        <v>10046.700000000001</v>
      </c>
      <c r="R357" s="71">
        <f t="shared" si="84"/>
        <v>10046.700000000001</v>
      </c>
      <c r="S357" s="71">
        <f t="shared" si="80"/>
        <v>176821.2</v>
      </c>
      <c r="T357" s="67">
        <v>2024</v>
      </c>
    </row>
    <row r="358" spans="1:26" ht="60" x14ac:dyDescent="0.2">
      <c r="A358" s="61" t="s">
        <v>328</v>
      </c>
      <c r="B358" s="61">
        <v>1</v>
      </c>
      <c r="C358" s="61">
        <v>5</v>
      </c>
      <c r="D358" s="61">
        <v>2</v>
      </c>
      <c r="E358" s="61">
        <v>0</v>
      </c>
      <c r="F358" s="61">
        <v>0</v>
      </c>
      <c r="G358" s="61"/>
      <c r="H358" s="62" t="s">
        <v>299</v>
      </c>
      <c r="I358" s="61" t="s">
        <v>261</v>
      </c>
      <c r="J358" s="110">
        <v>8.0479011073911921E-2</v>
      </c>
      <c r="K358" s="110">
        <v>1.6097875080489377E-2</v>
      </c>
      <c r="L358" s="110">
        <v>1.6103578215079392E-2</v>
      </c>
      <c r="M358" s="110">
        <v>1.6103578215079392E-2</v>
      </c>
      <c r="N358" s="110">
        <v>4.2517006802721087E-2</v>
      </c>
      <c r="O358" s="110">
        <v>2.1186440677966101E-2</v>
      </c>
      <c r="P358" s="110">
        <v>2.1208907741251323E-2</v>
      </c>
      <c r="Q358" s="110">
        <v>1.6103578215079392E-2</v>
      </c>
      <c r="R358" s="110">
        <v>1.6103578215079392E-2</v>
      </c>
      <c r="S358" s="110">
        <f>R358</f>
        <v>1.6103578215079392E-2</v>
      </c>
      <c r="T358" s="67">
        <v>2024</v>
      </c>
    </row>
    <row r="359" spans="1:26" ht="44.25" customHeight="1" x14ac:dyDescent="0.2">
      <c r="A359" s="61" t="s">
        <v>328</v>
      </c>
      <c r="B359" s="61">
        <v>1</v>
      </c>
      <c r="C359" s="61">
        <v>5</v>
      </c>
      <c r="D359" s="61">
        <v>2</v>
      </c>
      <c r="E359" s="61">
        <v>0</v>
      </c>
      <c r="F359" s="61">
        <v>0</v>
      </c>
      <c r="G359" s="61"/>
      <c r="H359" s="62" t="s">
        <v>26</v>
      </c>
      <c r="I359" s="61" t="s">
        <v>261</v>
      </c>
      <c r="J359" s="71">
        <v>7.3529411764705888</v>
      </c>
      <c r="K359" s="71">
        <v>6.25</v>
      </c>
      <c r="L359" s="71">
        <v>5.8441558441558437</v>
      </c>
      <c r="M359" s="71">
        <v>14.482758620689657</v>
      </c>
      <c r="N359" s="71">
        <v>11.111111111111111</v>
      </c>
      <c r="O359" s="71">
        <v>13.138686131386862</v>
      </c>
      <c r="P359" s="71">
        <v>15.126050420168067</v>
      </c>
      <c r="Q359" s="71">
        <v>7.7519379844961236</v>
      </c>
      <c r="R359" s="71">
        <v>7.7519379844961236</v>
      </c>
      <c r="S359" s="71">
        <f>R359</f>
        <v>7.7519379844961236</v>
      </c>
      <c r="T359" s="67">
        <v>2024</v>
      </c>
    </row>
    <row r="360" spans="1:26" ht="45" x14ac:dyDescent="0.2">
      <c r="A360" s="61" t="s">
        <v>328</v>
      </c>
      <c r="B360" s="61">
        <v>1</v>
      </c>
      <c r="C360" s="61">
        <v>5</v>
      </c>
      <c r="D360" s="61">
        <v>2</v>
      </c>
      <c r="E360" s="61">
        <v>0</v>
      </c>
      <c r="F360" s="61">
        <v>1</v>
      </c>
      <c r="G360" s="61"/>
      <c r="H360" s="62" t="s">
        <v>215</v>
      </c>
      <c r="I360" s="63" t="s">
        <v>248</v>
      </c>
      <c r="J360" s="66" t="s">
        <v>262</v>
      </c>
      <c r="K360" s="66" t="s">
        <v>262</v>
      </c>
      <c r="L360" s="66" t="s">
        <v>89</v>
      </c>
      <c r="M360" s="66" t="s">
        <v>89</v>
      </c>
      <c r="N360" s="66" t="s">
        <v>262</v>
      </c>
      <c r="O360" s="66" t="s">
        <v>262</v>
      </c>
      <c r="P360" s="66" t="s">
        <v>262</v>
      </c>
      <c r="Q360" s="66" t="s">
        <v>262</v>
      </c>
      <c r="R360" s="66" t="s">
        <v>262</v>
      </c>
      <c r="S360" s="66" t="s">
        <v>262</v>
      </c>
      <c r="T360" s="67">
        <v>2024</v>
      </c>
    </row>
    <row r="361" spans="1:26" ht="30" x14ac:dyDescent="0.2">
      <c r="A361" s="61" t="s">
        <v>328</v>
      </c>
      <c r="B361" s="61">
        <v>1</v>
      </c>
      <c r="C361" s="61">
        <v>5</v>
      </c>
      <c r="D361" s="61">
        <v>2</v>
      </c>
      <c r="E361" s="61">
        <v>0</v>
      </c>
      <c r="F361" s="61">
        <v>1</v>
      </c>
      <c r="G361" s="61"/>
      <c r="H361" s="62" t="s">
        <v>30</v>
      </c>
      <c r="I361" s="63" t="s">
        <v>260</v>
      </c>
      <c r="J361" s="53">
        <v>5</v>
      </c>
      <c r="K361" s="53">
        <v>1</v>
      </c>
      <c r="L361" s="53">
        <v>0</v>
      </c>
      <c r="M361" s="53">
        <v>0</v>
      </c>
      <c r="N361" s="53">
        <v>2</v>
      </c>
      <c r="O361" s="53">
        <v>1</v>
      </c>
      <c r="P361" s="53">
        <v>1</v>
      </c>
      <c r="Q361" s="53">
        <v>1</v>
      </c>
      <c r="R361" s="53">
        <v>1</v>
      </c>
      <c r="S361" s="71">
        <f t="shared" ref="S361:S367" si="85">SUM(J361:R361)</f>
        <v>12</v>
      </c>
      <c r="T361" s="67">
        <v>2024</v>
      </c>
    </row>
    <row r="362" spans="1:26" ht="30" x14ac:dyDescent="0.2">
      <c r="A362" s="61" t="s">
        <v>328</v>
      </c>
      <c r="B362" s="61">
        <v>1</v>
      </c>
      <c r="C362" s="61">
        <v>5</v>
      </c>
      <c r="D362" s="61">
        <v>2</v>
      </c>
      <c r="E362" s="61">
        <v>0</v>
      </c>
      <c r="F362" s="61">
        <v>2</v>
      </c>
      <c r="G362" s="61"/>
      <c r="H362" s="62" t="s">
        <v>168</v>
      </c>
      <c r="I362" s="63" t="s">
        <v>259</v>
      </c>
      <c r="J362" s="71">
        <f t="shared" ref="J362:R362" si="86">J364+J363</f>
        <v>17788.099999999999</v>
      </c>
      <c r="K362" s="71">
        <f t="shared" si="86"/>
        <v>24646.7</v>
      </c>
      <c r="L362" s="71">
        <f t="shared" si="86"/>
        <v>18343.300000000003</v>
      </c>
      <c r="M362" s="71">
        <f t="shared" si="86"/>
        <v>42725.100000000006</v>
      </c>
      <c r="N362" s="71">
        <f t="shared" si="86"/>
        <v>40883.1</v>
      </c>
      <c r="O362" s="71">
        <f t="shared" si="86"/>
        <v>41594.300000000003</v>
      </c>
      <c r="P362" s="71">
        <f t="shared" si="86"/>
        <v>41684.299999999996</v>
      </c>
      <c r="Q362" s="71">
        <f t="shared" si="86"/>
        <v>20485.099999999999</v>
      </c>
      <c r="R362" s="71">
        <f t="shared" si="86"/>
        <v>20485.099999999999</v>
      </c>
      <c r="S362" s="71">
        <f t="shared" si="85"/>
        <v>268635.10000000003</v>
      </c>
      <c r="T362" s="67">
        <v>2024</v>
      </c>
    </row>
    <row r="363" spans="1:26" ht="15" x14ac:dyDescent="0.2">
      <c r="A363" s="61" t="s">
        <v>328</v>
      </c>
      <c r="B363" s="61">
        <v>1</v>
      </c>
      <c r="C363" s="61">
        <v>5</v>
      </c>
      <c r="D363" s="61">
        <v>2</v>
      </c>
      <c r="E363" s="61">
        <v>0</v>
      </c>
      <c r="F363" s="61">
        <v>2</v>
      </c>
      <c r="G363" s="61">
        <v>1</v>
      </c>
      <c r="H363" s="62" t="s">
        <v>218</v>
      </c>
      <c r="I363" s="63" t="s">
        <v>259</v>
      </c>
      <c r="J363" s="71">
        <v>12423.8</v>
      </c>
      <c r="K363" s="71">
        <v>9469</v>
      </c>
      <c r="L363" s="71">
        <v>8262.1</v>
      </c>
      <c r="M363" s="71">
        <v>9497.2999999999993</v>
      </c>
      <c r="N363" s="71">
        <v>9146.6</v>
      </c>
      <c r="O363" s="71">
        <v>11027.4</v>
      </c>
      <c r="P363" s="71">
        <v>11110.9</v>
      </c>
      <c r="Q363" s="71">
        <v>10438.4</v>
      </c>
      <c r="R363" s="71">
        <v>10438.4</v>
      </c>
      <c r="S363" s="71">
        <f t="shared" si="85"/>
        <v>91813.89999999998</v>
      </c>
      <c r="T363" s="67">
        <v>2024</v>
      </c>
    </row>
    <row r="364" spans="1:26" ht="15" x14ac:dyDescent="0.2">
      <c r="A364" s="61" t="s">
        <v>328</v>
      </c>
      <c r="B364" s="61">
        <v>1</v>
      </c>
      <c r="C364" s="61">
        <v>5</v>
      </c>
      <c r="D364" s="61">
        <v>2</v>
      </c>
      <c r="E364" s="61">
        <v>0</v>
      </c>
      <c r="F364" s="61">
        <v>2</v>
      </c>
      <c r="G364" s="61">
        <v>2</v>
      </c>
      <c r="H364" s="62" t="s">
        <v>228</v>
      </c>
      <c r="I364" s="63" t="s">
        <v>259</v>
      </c>
      <c r="J364" s="93">
        <f>39+5325.3</f>
        <v>5364.3</v>
      </c>
      <c r="K364" s="93">
        <f>7611.5+7566.2</f>
        <v>15177.7</v>
      </c>
      <c r="L364" s="71">
        <v>10081.200000000001</v>
      </c>
      <c r="M364" s="71">
        <v>33227.800000000003</v>
      </c>
      <c r="N364" s="71">
        <f>31736.4+0.1</f>
        <v>31736.5</v>
      </c>
      <c r="O364" s="71">
        <f>1225.2+29341.7</f>
        <v>30566.9</v>
      </c>
      <c r="P364" s="71">
        <f>1234.6+29338.8</f>
        <v>30573.399999999998</v>
      </c>
      <c r="Q364" s="71">
        <v>10046.700000000001</v>
      </c>
      <c r="R364" s="71">
        <v>10046.700000000001</v>
      </c>
      <c r="S364" s="71">
        <f t="shared" si="85"/>
        <v>176821.2</v>
      </c>
      <c r="T364" s="67">
        <v>2024</v>
      </c>
    </row>
    <row r="365" spans="1:26" ht="27.75" customHeight="1" x14ac:dyDescent="0.2">
      <c r="A365" s="61" t="s">
        <v>328</v>
      </c>
      <c r="B365" s="61">
        <v>1</v>
      </c>
      <c r="C365" s="61">
        <v>5</v>
      </c>
      <c r="D365" s="61">
        <v>2</v>
      </c>
      <c r="E365" s="61">
        <v>0</v>
      </c>
      <c r="F365" s="61">
        <v>2</v>
      </c>
      <c r="G365" s="61"/>
      <c r="H365" s="62" t="s">
        <v>27</v>
      </c>
      <c r="I365" s="63" t="s">
        <v>260</v>
      </c>
      <c r="J365" s="53">
        <v>10</v>
      </c>
      <c r="K365" s="95">
        <v>13</v>
      </c>
      <c r="L365" s="95">
        <v>9</v>
      </c>
      <c r="M365" s="95">
        <f>ROUND(M362/1904,0)</f>
        <v>22</v>
      </c>
      <c r="N365" s="95">
        <v>18</v>
      </c>
      <c r="O365" s="95">
        <v>18</v>
      </c>
      <c r="P365" s="95">
        <v>18</v>
      </c>
      <c r="Q365" s="95">
        <v>10</v>
      </c>
      <c r="R365" s="95">
        <v>10</v>
      </c>
      <c r="S365" s="71">
        <f t="shared" si="85"/>
        <v>128</v>
      </c>
      <c r="T365" s="67">
        <v>2024</v>
      </c>
    </row>
    <row r="366" spans="1:26" ht="45" x14ac:dyDescent="0.2">
      <c r="A366" s="61" t="s">
        <v>328</v>
      </c>
      <c r="B366" s="61">
        <v>1</v>
      </c>
      <c r="C366" s="61">
        <v>5</v>
      </c>
      <c r="D366" s="61">
        <v>2</v>
      </c>
      <c r="E366" s="61">
        <v>0</v>
      </c>
      <c r="F366" s="61">
        <v>3</v>
      </c>
      <c r="G366" s="61"/>
      <c r="H366" s="62" t="s">
        <v>67</v>
      </c>
      <c r="I366" s="63" t="s">
        <v>248</v>
      </c>
      <c r="J366" s="71" t="s">
        <v>262</v>
      </c>
      <c r="K366" s="71" t="s">
        <v>262</v>
      </c>
      <c r="L366" s="93" t="s">
        <v>262</v>
      </c>
      <c r="M366" s="71" t="s">
        <v>262</v>
      </c>
      <c r="N366" s="71" t="s">
        <v>262</v>
      </c>
      <c r="O366" s="71" t="s">
        <v>262</v>
      </c>
      <c r="P366" s="71" t="s">
        <v>262</v>
      </c>
      <c r="Q366" s="71" t="s">
        <v>262</v>
      </c>
      <c r="R366" s="93" t="s">
        <v>262</v>
      </c>
      <c r="S366" s="93" t="s">
        <v>262</v>
      </c>
      <c r="T366" s="67">
        <v>2024</v>
      </c>
    </row>
    <row r="367" spans="1:26" ht="15" x14ac:dyDescent="0.2">
      <c r="A367" s="61" t="s">
        <v>328</v>
      </c>
      <c r="B367" s="61">
        <v>1</v>
      </c>
      <c r="C367" s="61">
        <v>5</v>
      </c>
      <c r="D367" s="61">
        <v>2</v>
      </c>
      <c r="E367" s="61">
        <v>0</v>
      </c>
      <c r="F367" s="61">
        <v>3</v>
      </c>
      <c r="G367" s="61"/>
      <c r="H367" s="62" t="s">
        <v>411</v>
      </c>
      <c r="I367" s="63" t="s">
        <v>260</v>
      </c>
      <c r="J367" s="53">
        <v>10</v>
      </c>
      <c r="K367" s="95">
        <v>13</v>
      </c>
      <c r="L367" s="95">
        <v>6</v>
      </c>
      <c r="M367" s="95">
        <v>20</v>
      </c>
      <c r="N367" s="95">
        <v>18</v>
      </c>
      <c r="O367" s="95">
        <v>18</v>
      </c>
      <c r="P367" s="95">
        <v>18</v>
      </c>
      <c r="Q367" s="95">
        <v>10</v>
      </c>
      <c r="R367" s="95">
        <v>10</v>
      </c>
      <c r="S367" s="71">
        <f t="shared" si="85"/>
        <v>123</v>
      </c>
      <c r="T367" s="67">
        <v>2024</v>
      </c>
    </row>
    <row r="368" spans="1:26" ht="15" x14ac:dyDescent="0.2">
      <c r="A368" s="142" t="s">
        <v>328</v>
      </c>
      <c r="B368" s="142">
        <v>1</v>
      </c>
      <c r="C368" s="142">
        <v>9</v>
      </c>
      <c r="D368" s="142">
        <v>0</v>
      </c>
      <c r="E368" s="142">
        <v>0</v>
      </c>
      <c r="F368" s="142">
        <v>0</v>
      </c>
      <c r="G368" s="83"/>
      <c r="H368" s="85" t="s">
        <v>37</v>
      </c>
      <c r="I368" s="86" t="s">
        <v>259</v>
      </c>
      <c r="J368" s="143">
        <f>SUM(J369:J371)</f>
        <v>364542.5</v>
      </c>
      <c r="K368" s="143">
        <f t="shared" ref="K368:S368" si="87">SUM(K369:K371)</f>
        <v>0</v>
      </c>
      <c r="L368" s="143">
        <f t="shared" si="87"/>
        <v>0</v>
      </c>
      <c r="M368" s="143">
        <f t="shared" si="87"/>
        <v>252597.5</v>
      </c>
      <c r="N368" s="143">
        <f t="shared" si="87"/>
        <v>320105.7</v>
      </c>
      <c r="O368" s="143">
        <f t="shared" si="87"/>
        <v>0</v>
      </c>
      <c r="P368" s="143">
        <f t="shared" si="87"/>
        <v>0</v>
      </c>
      <c r="Q368" s="143">
        <f t="shared" si="87"/>
        <v>0</v>
      </c>
      <c r="R368" s="143">
        <f t="shared" si="87"/>
        <v>0</v>
      </c>
      <c r="S368" s="143">
        <f t="shared" si="87"/>
        <v>937245.70000000007</v>
      </c>
      <c r="T368" s="88">
        <v>2020</v>
      </c>
      <c r="Y368" s="90"/>
    </row>
    <row r="369" spans="1:26" ht="15" x14ac:dyDescent="0.2">
      <c r="A369" s="83" t="s">
        <v>328</v>
      </c>
      <c r="B369" s="83">
        <v>1</v>
      </c>
      <c r="C369" s="83">
        <v>9</v>
      </c>
      <c r="D369" s="83">
        <v>0</v>
      </c>
      <c r="E369" s="83">
        <v>0</v>
      </c>
      <c r="F369" s="83">
        <v>0</v>
      </c>
      <c r="G369" s="83">
        <v>2</v>
      </c>
      <c r="H369" s="62" t="s">
        <v>228</v>
      </c>
      <c r="I369" s="63" t="s">
        <v>259</v>
      </c>
      <c r="J369" s="82">
        <f>J373</f>
        <v>0</v>
      </c>
      <c r="K369" s="82">
        <f t="shared" ref="K369:S369" si="88">K373</f>
        <v>0</v>
      </c>
      <c r="L369" s="82">
        <f t="shared" si="88"/>
        <v>0</v>
      </c>
      <c r="M369" s="82">
        <f t="shared" si="88"/>
        <v>4945.8</v>
      </c>
      <c r="N369" s="82">
        <f t="shared" si="88"/>
        <v>0.1</v>
      </c>
      <c r="O369" s="82">
        <f t="shared" si="88"/>
        <v>0</v>
      </c>
      <c r="P369" s="82">
        <f t="shared" si="88"/>
        <v>0</v>
      </c>
      <c r="Q369" s="82">
        <f t="shared" si="88"/>
        <v>0</v>
      </c>
      <c r="R369" s="82">
        <f t="shared" si="88"/>
        <v>0</v>
      </c>
      <c r="S369" s="82">
        <f t="shared" si="88"/>
        <v>4945.9000000000005</v>
      </c>
      <c r="T369" s="67">
        <v>2020</v>
      </c>
      <c r="Y369" s="90"/>
    </row>
    <row r="370" spans="1:26" ht="15" x14ac:dyDescent="0.2">
      <c r="A370" s="83" t="s">
        <v>328</v>
      </c>
      <c r="B370" s="83">
        <v>1</v>
      </c>
      <c r="C370" s="83">
        <v>9</v>
      </c>
      <c r="D370" s="83">
        <v>0</v>
      </c>
      <c r="E370" s="83">
        <v>0</v>
      </c>
      <c r="F370" s="83">
        <v>0</v>
      </c>
      <c r="G370" s="83">
        <v>3</v>
      </c>
      <c r="H370" s="62" t="s">
        <v>229</v>
      </c>
      <c r="I370" s="63" t="s">
        <v>259</v>
      </c>
      <c r="J370" s="82">
        <f>J374</f>
        <v>0</v>
      </c>
      <c r="K370" s="82">
        <f t="shared" ref="K370:S370" si="89">K374</f>
        <v>0</v>
      </c>
      <c r="L370" s="82">
        <f t="shared" si="89"/>
        <v>0</v>
      </c>
      <c r="M370" s="82">
        <f t="shared" si="89"/>
        <v>5307.1</v>
      </c>
      <c r="N370" s="82">
        <f t="shared" si="89"/>
        <v>16074.400000000001</v>
      </c>
      <c r="O370" s="82">
        <f t="shared" si="89"/>
        <v>0</v>
      </c>
      <c r="P370" s="82">
        <f t="shared" si="89"/>
        <v>0</v>
      </c>
      <c r="Q370" s="82">
        <f t="shared" si="89"/>
        <v>0</v>
      </c>
      <c r="R370" s="82">
        <f t="shared" si="89"/>
        <v>0</v>
      </c>
      <c r="S370" s="82">
        <f t="shared" si="89"/>
        <v>21381.5</v>
      </c>
      <c r="T370" s="67">
        <v>2020</v>
      </c>
    </row>
    <row r="371" spans="1:26" ht="15" x14ac:dyDescent="0.2">
      <c r="A371" s="83" t="s">
        <v>328</v>
      </c>
      <c r="B371" s="83">
        <v>1</v>
      </c>
      <c r="C371" s="83">
        <v>9</v>
      </c>
      <c r="D371" s="83">
        <v>0</v>
      </c>
      <c r="E371" s="83">
        <v>0</v>
      </c>
      <c r="F371" s="83">
        <v>0</v>
      </c>
      <c r="G371" s="83">
        <v>5</v>
      </c>
      <c r="H371" s="62" t="s">
        <v>331</v>
      </c>
      <c r="I371" s="63" t="s">
        <v>259</v>
      </c>
      <c r="J371" s="82">
        <f>J375</f>
        <v>364542.5</v>
      </c>
      <c r="K371" s="82">
        <f t="shared" ref="K371:R371" si="90">K375</f>
        <v>0</v>
      </c>
      <c r="L371" s="82">
        <f t="shared" si="90"/>
        <v>0</v>
      </c>
      <c r="M371" s="82">
        <f>M375</f>
        <v>242344.6</v>
      </c>
      <c r="N371" s="82">
        <f t="shared" si="90"/>
        <v>304031.2</v>
      </c>
      <c r="O371" s="82">
        <f t="shared" si="90"/>
        <v>0</v>
      </c>
      <c r="P371" s="82">
        <f t="shared" si="90"/>
        <v>0</v>
      </c>
      <c r="Q371" s="82">
        <f t="shared" si="90"/>
        <v>0</v>
      </c>
      <c r="R371" s="82">
        <f t="shared" si="90"/>
        <v>0</v>
      </c>
      <c r="S371" s="82">
        <f t="shared" ref="S371:S379" si="91">SUM(J371:R371)</f>
        <v>910918.3</v>
      </c>
      <c r="T371" s="67">
        <v>2020</v>
      </c>
    </row>
    <row r="372" spans="1:26" ht="30" x14ac:dyDescent="0.2">
      <c r="A372" s="83" t="s">
        <v>328</v>
      </c>
      <c r="B372" s="83">
        <v>1</v>
      </c>
      <c r="C372" s="83">
        <v>9</v>
      </c>
      <c r="D372" s="83">
        <v>1</v>
      </c>
      <c r="E372" s="83">
        <v>0</v>
      </c>
      <c r="F372" s="83">
        <v>0</v>
      </c>
      <c r="G372" s="83"/>
      <c r="H372" s="62" t="s">
        <v>130</v>
      </c>
      <c r="I372" s="63" t="s">
        <v>259</v>
      </c>
      <c r="J372" s="82">
        <f>SUM(J374:J375)</f>
        <v>364542.5</v>
      </c>
      <c r="K372" s="82">
        <f t="shared" ref="K372:R372" si="92">SUM(K374:K375)</f>
        <v>0</v>
      </c>
      <c r="L372" s="82">
        <f t="shared" si="92"/>
        <v>0</v>
      </c>
      <c r="M372" s="82">
        <f>SUM(M373:M375)</f>
        <v>252597.5</v>
      </c>
      <c r="N372" s="82">
        <f t="shared" si="92"/>
        <v>320105.60000000003</v>
      </c>
      <c r="O372" s="82">
        <f t="shared" si="92"/>
        <v>0</v>
      </c>
      <c r="P372" s="82">
        <f t="shared" si="92"/>
        <v>0</v>
      </c>
      <c r="Q372" s="82">
        <f t="shared" si="92"/>
        <v>0</v>
      </c>
      <c r="R372" s="82">
        <f t="shared" si="92"/>
        <v>0</v>
      </c>
      <c r="S372" s="82">
        <f t="shared" si="91"/>
        <v>937245.60000000009</v>
      </c>
      <c r="T372" s="61">
        <v>2020</v>
      </c>
      <c r="Z372" s="90"/>
    </row>
    <row r="373" spans="1:26" ht="15" x14ac:dyDescent="0.2">
      <c r="A373" s="83" t="s">
        <v>328</v>
      </c>
      <c r="B373" s="83">
        <v>1</v>
      </c>
      <c r="C373" s="83">
        <v>9</v>
      </c>
      <c r="D373" s="83">
        <v>1</v>
      </c>
      <c r="E373" s="83">
        <v>0</v>
      </c>
      <c r="F373" s="83">
        <v>0</v>
      </c>
      <c r="G373" s="83">
        <v>2</v>
      </c>
      <c r="H373" s="62" t="s">
        <v>228</v>
      </c>
      <c r="I373" s="63" t="s">
        <v>259</v>
      </c>
      <c r="J373" s="82">
        <f>J377</f>
        <v>0</v>
      </c>
      <c r="K373" s="82">
        <f t="shared" ref="K373:S373" si="93">K377</f>
        <v>0</v>
      </c>
      <c r="L373" s="82">
        <f t="shared" si="93"/>
        <v>0</v>
      </c>
      <c r="M373" s="82">
        <f t="shared" si="93"/>
        <v>4945.8</v>
      </c>
      <c r="N373" s="82">
        <f t="shared" si="93"/>
        <v>0.1</v>
      </c>
      <c r="O373" s="82">
        <f t="shared" si="93"/>
        <v>0</v>
      </c>
      <c r="P373" s="82">
        <f t="shared" si="93"/>
        <v>0</v>
      </c>
      <c r="Q373" s="82">
        <f t="shared" si="93"/>
        <v>0</v>
      </c>
      <c r="R373" s="82">
        <f t="shared" si="93"/>
        <v>0</v>
      </c>
      <c r="S373" s="82">
        <f t="shared" si="93"/>
        <v>4945.9000000000005</v>
      </c>
      <c r="T373" s="67">
        <v>2020</v>
      </c>
      <c r="Z373" s="90"/>
    </row>
    <row r="374" spans="1:26" ht="15" x14ac:dyDescent="0.2">
      <c r="A374" s="83" t="s">
        <v>328</v>
      </c>
      <c r="B374" s="83">
        <v>1</v>
      </c>
      <c r="C374" s="83">
        <v>9</v>
      </c>
      <c r="D374" s="83">
        <v>1</v>
      </c>
      <c r="E374" s="83">
        <v>0</v>
      </c>
      <c r="F374" s="83">
        <v>0</v>
      </c>
      <c r="G374" s="83">
        <v>3</v>
      </c>
      <c r="H374" s="62" t="s">
        <v>229</v>
      </c>
      <c r="I374" s="63" t="s">
        <v>259</v>
      </c>
      <c r="J374" s="82">
        <f>J380+J378</f>
        <v>0</v>
      </c>
      <c r="K374" s="82">
        <f t="shared" ref="K374:S374" si="94">K380+K378</f>
        <v>0</v>
      </c>
      <c r="L374" s="82">
        <f t="shared" si="94"/>
        <v>0</v>
      </c>
      <c r="M374" s="82">
        <f t="shared" si="94"/>
        <v>5307.1</v>
      </c>
      <c r="N374" s="82">
        <f t="shared" si="94"/>
        <v>16074.400000000001</v>
      </c>
      <c r="O374" s="82">
        <f t="shared" si="94"/>
        <v>0</v>
      </c>
      <c r="P374" s="82">
        <f t="shared" si="94"/>
        <v>0</v>
      </c>
      <c r="Q374" s="82">
        <f t="shared" si="94"/>
        <v>0</v>
      </c>
      <c r="R374" s="82">
        <f t="shared" si="94"/>
        <v>0</v>
      </c>
      <c r="S374" s="82">
        <f t="shared" si="94"/>
        <v>21381.5</v>
      </c>
      <c r="T374" s="61">
        <v>2020</v>
      </c>
      <c r="Z374" s="90"/>
    </row>
    <row r="375" spans="1:26" ht="15" x14ac:dyDescent="0.2">
      <c r="A375" s="83" t="s">
        <v>328</v>
      </c>
      <c r="B375" s="83">
        <v>1</v>
      </c>
      <c r="C375" s="83">
        <v>9</v>
      </c>
      <c r="D375" s="83">
        <v>1</v>
      </c>
      <c r="E375" s="83">
        <v>0</v>
      </c>
      <c r="F375" s="83">
        <v>0</v>
      </c>
      <c r="G375" s="83">
        <v>5</v>
      </c>
      <c r="H375" s="62" t="s">
        <v>331</v>
      </c>
      <c r="I375" s="63" t="s">
        <v>259</v>
      </c>
      <c r="J375" s="82">
        <f>J379</f>
        <v>364542.5</v>
      </c>
      <c r="K375" s="82">
        <f t="shared" ref="K375:R375" si="95">K379</f>
        <v>0</v>
      </c>
      <c r="L375" s="82">
        <f t="shared" si="95"/>
        <v>0</v>
      </c>
      <c r="M375" s="82">
        <f t="shared" si="95"/>
        <v>242344.6</v>
      </c>
      <c r="N375" s="82">
        <f t="shared" si="95"/>
        <v>304031.2</v>
      </c>
      <c r="O375" s="82">
        <f t="shared" si="95"/>
        <v>0</v>
      </c>
      <c r="P375" s="82">
        <f t="shared" si="95"/>
        <v>0</v>
      </c>
      <c r="Q375" s="82">
        <f t="shared" si="95"/>
        <v>0</v>
      </c>
      <c r="R375" s="82">
        <f t="shared" si="95"/>
        <v>0</v>
      </c>
      <c r="S375" s="82">
        <f t="shared" si="91"/>
        <v>910918.3</v>
      </c>
      <c r="T375" s="67">
        <v>2020</v>
      </c>
    </row>
    <row r="376" spans="1:26" ht="75" x14ac:dyDescent="0.2">
      <c r="A376" s="83" t="s">
        <v>328</v>
      </c>
      <c r="B376" s="83">
        <v>1</v>
      </c>
      <c r="C376" s="83">
        <v>9</v>
      </c>
      <c r="D376" s="83">
        <v>1</v>
      </c>
      <c r="E376" s="83">
        <v>0</v>
      </c>
      <c r="F376" s="83">
        <v>1</v>
      </c>
      <c r="G376" s="83"/>
      <c r="H376" s="62" t="s">
        <v>438</v>
      </c>
      <c r="I376" s="63" t="s">
        <v>259</v>
      </c>
      <c r="J376" s="82">
        <f t="shared" ref="J376:R376" si="96">J379</f>
        <v>364542.5</v>
      </c>
      <c r="K376" s="82">
        <f t="shared" si="96"/>
        <v>0</v>
      </c>
      <c r="L376" s="82">
        <f t="shared" si="96"/>
        <v>0</v>
      </c>
      <c r="M376" s="82">
        <f>M379+M377+M378</f>
        <v>252597.5</v>
      </c>
      <c r="N376" s="82">
        <f>N379+N377+N378</f>
        <v>304339.5</v>
      </c>
      <c r="O376" s="82">
        <f t="shared" si="96"/>
        <v>0</v>
      </c>
      <c r="P376" s="82">
        <f t="shared" si="96"/>
        <v>0</v>
      </c>
      <c r="Q376" s="82">
        <f t="shared" si="96"/>
        <v>0</v>
      </c>
      <c r="R376" s="82">
        <f t="shared" si="96"/>
        <v>0</v>
      </c>
      <c r="S376" s="82">
        <f t="shared" si="91"/>
        <v>921479.5</v>
      </c>
      <c r="T376" s="67">
        <v>2020</v>
      </c>
    </row>
    <row r="377" spans="1:26" ht="15" x14ac:dyDescent="0.2">
      <c r="A377" s="83" t="s">
        <v>328</v>
      </c>
      <c r="B377" s="83">
        <v>1</v>
      </c>
      <c r="C377" s="83">
        <v>9</v>
      </c>
      <c r="D377" s="83">
        <v>1</v>
      </c>
      <c r="E377" s="83">
        <v>0</v>
      </c>
      <c r="F377" s="83">
        <v>1</v>
      </c>
      <c r="G377" s="61">
        <v>2</v>
      </c>
      <c r="H377" s="62" t="s">
        <v>228</v>
      </c>
      <c r="I377" s="63" t="s">
        <v>259</v>
      </c>
      <c r="J377" s="82"/>
      <c r="K377" s="82"/>
      <c r="L377" s="82"/>
      <c r="M377" s="82">
        <v>4945.8</v>
      </c>
      <c r="N377" s="82">
        <v>0.1</v>
      </c>
      <c r="O377" s="82"/>
      <c r="P377" s="82"/>
      <c r="Q377" s="82"/>
      <c r="R377" s="82"/>
      <c r="S377" s="82">
        <f t="shared" si="91"/>
        <v>4945.9000000000005</v>
      </c>
      <c r="T377" s="67">
        <v>2020</v>
      </c>
    </row>
    <row r="378" spans="1:26" ht="15" x14ac:dyDescent="0.2">
      <c r="A378" s="83" t="s">
        <v>328</v>
      </c>
      <c r="B378" s="83">
        <v>1</v>
      </c>
      <c r="C378" s="83">
        <v>9</v>
      </c>
      <c r="D378" s="83">
        <v>1</v>
      </c>
      <c r="E378" s="83">
        <v>0</v>
      </c>
      <c r="F378" s="83">
        <v>1</v>
      </c>
      <c r="G378" s="61">
        <v>3</v>
      </c>
      <c r="H378" s="62" t="s">
        <v>229</v>
      </c>
      <c r="I378" s="63" t="s">
        <v>259</v>
      </c>
      <c r="J378" s="82"/>
      <c r="K378" s="82"/>
      <c r="L378" s="82"/>
      <c r="M378" s="82">
        <v>5307.1</v>
      </c>
      <c r="N378" s="82">
        <f>5638.1-5329.9</f>
        <v>308.20000000000073</v>
      </c>
      <c r="O378" s="82"/>
      <c r="P378" s="82"/>
      <c r="Q378" s="82"/>
      <c r="R378" s="82"/>
      <c r="S378" s="82">
        <f t="shared" si="91"/>
        <v>5615.3000000000011</v>
      </c>
      <c r="T378" s="67">
        <v>2020</v>
      </c>
    </row>
    <row r="379" spans="1:26" ht="15" x14ac:dyDescent="0.2">
      <c r="A379" s="83" t="s">
        <v>328</v>
      </c>
      <c r="B379" s="83">
        <v>1</v>
      </c>
      <c r="C379" s="83">
        <v>9</v>
      </c>
      <c r="D379" s="83">
        <v>1</v>
      </c>
      <c r="E379" s="83">
        <v>0</v>
      </c>
      <c r="F379" s="83">
        <v>1</v>
      </c>
      <c r="G379" s="83">
        <v>5</v>
      </c>
      <c r="H379" s="62" t="s">
        <v>331</v>
      </c>
      <c r="I379" s="63" t="s">
        <v>259</v>
      </c>
      <c r="J379" s="82">
        <f>364542.4+0.1</f>
        <v>364542.5</v>
      </c>
      <c r="K379" s="71">
        <v>0</v>
      </c>
      <c r="L379" s="71">
        <v>0</v>
      </c>
      <c r="M379" s="71">
        <v>242344.6</v>
      </c>
      <c r="N379" s="71">
        <f>616343.9-312312.7</f>
        <v>304031.2</v>
      </c>
      <c r="O379" s="71">
        <v>0</v>
      </c>
      <c r="P379" s="71">
        <v>0</v>
      </c>
      <c r="Q379" s="71">
        <v>0</v>
      </c>
      <c r="R379" s="71">
        <v>0</v>
      </c>
      <c r="S379" s="82">
        <f t="shared" si="91"/>
        <v>910918.3</v>
      </c>
      <c r="T379" s="67">
        <v>2020</v>
      </c>
    </row>
    <row r="380" spans="1:26" ht="75" x14ac:dyDescent="0.2">
      <c r="A380" s="83" t="s">
        <v>328</v>
      </c>
      <c r="B380" s="83">
        <v>1</v>
      </c>
      <c r="C380" s="83">
        <v>9</v>
      </c>
      <c r="D380" s="83">
        <v>1</v>
      </c>
      <c r="E380" s="83">
        <v>0</v>
      </c>
      <c r="F380" s="83">
        <v>2</v>
      </c>
      <c r="G380" s="83">
        <v>3</v>
      </c>
      <c r="H380" s="62" t="s">
        <v>8</v>
      </c>
      <c r="I380" s="63" t="s">
        <v>259</v>
      </c>
      <c r="J380" s="82">
        <v>0</v>
      </c>
      <c r="K380" s="82">
        <v>0</v>
      </c>
      <c r="L380" s="82">
        <v>0</v>
      </c>
      <c r="M380" s="82">
        <v>0</v>
      </c>
      <c r="N380" s="82">
        <v>15766.2</v>
      </c>
      <c r="O380" s="82">
        <v>0</v>
      </c>
      <c r="P380" s="82">
        <v>0</v>
      </c>
      <c r="Q380" s="82">
        <v>0</v>
      </c>
      <c r="R380" s="82">
        <v>0</v>
      </c>
      <c r="S380" s="82">
        <f>SUM(J380:R380)</f>
        <v>15766.2</v>
      </c>
      <c r="T380" s="67">
        <v>2020</v>
      </c>
    </row>
    <row r="381" spans="1:26" ht="15" x14ac:dyDescent="0.2">
      <c r="A381" s="83" t="s">
        <v>328</v>
      </c>
      <c r="B381" s="63">
        <v>1</v>
      </c>
      <c r="C381" s="63">
        <v>9</v>
      </c>
      <c r="D381" s="63">
        <v>2</v>
      </c>
      <c r="E381" s="63">
        <v>0</v>
      </c>
      <c r="F381" s="63">
        <v>0</v>
      </c>
      <c r="G381" s="63"/>
      <c r="H381" s="144" t="s">
        <v>38</v>
      </c>
      <c r="I381" s="63" t="s">
        <v>248</v>
      </c>
      <c r="J381" s="106" t="s">
        <v>262</v>
      </c>
      <c r="K381" s="106" t="s">
        <v>262</v>
      </c>
      <c r="L381" s="82" t="s">
        <v>89</v>
      </c>
      <c r="M381" s="106" t="s">
        <v>89</v>
      </c>
      <c r="N381" s="106" t="s">
        <v>89</v>
      </c>
      <c r="O381" s="106" t="s">
        <v>89</v>
      </c>
      <c r="P381" s="106" t="s">
        <v>89</v>
      </c>
      <c r="Q381" s="106" t="s">
        <v>89</v>
      </c>
      <c r="R381" s="106" t="s">
        <v>89</v>
      </c>
      <c r="S381" s="106" t="s">
        <v>262</v>
      </c>
      <c r="T381" s="67">
        <v>2017</v>
      </c>
    </row>
    <row r="382" spans="1:26" ht="45" x14ac:dyDescent="0.2">
      <c r="A382" s="83" t="s">
        <v>328</v>
      </c>
      <c r="B382" s="63">
        <v>1</v>
      </c>
      <c r="C382" s="63">
        <v>9</v>
      </c>
      <c r="D382" s="63">
        <v>2</v>
      </c>
      <c r="E382" s="63">
        <v>0</v>
      </c>
      <c r="F382" s="63">
        <v>1</v>
      </c>
      <c r="G382" s="63"/>
      <c r="H382" s="144" t="s">
        <v>28</v>
      </c>
      <c r="I382" s="63" t="s">
        <v>248</v>
      </c>
      <c r="J382" s="106" t="s">
        <v>262</v>
      </c>
      <c r="K382" s="106" t="s">
        <v>262</v>
      </c>
      <c r="L382" s="82" t="s">
        <v>89</v>
      </c>
      <c r="M382" s="106" t="s">
        <v>89</v>
      </c>
      <c r="N382" s="106" t="s">
        <v>89</v>
      </c>
      <c r="O382" s="106" t="s">
        <v>89</v>
      </c>
      <c r="P382" s="106" t="s">
        <v>89</v>
      </c>
      <c r="Q382" s="106" t="s">
        <v>89</v>
      </c>
      <c r="R382" s="106" t="s">
        <v>89</v>
      </c>
      <c r="S382" s="145" t="s">
        <v>89</v>
      </c>
      <c r="T382" s="67">
        <v>2017</v>
      </c>
    </row>
    <row r="383" spans="1:26" ht="15" x14ac:dyDescent="0.2">
      <c r="A383" s="83" t="s">
        <v>328</v>
      </c>
      <c r="B383" s="63">
        <v>1</v>
      </c>
      <c r="C383" s="63">
        <v>9</v>
      </c>
      <c r="D383" s="63">
        <v>2</v>
      </c>
      <c r="E383" s="63">
        <v>0</v>
      </c>
      <c r="F383" s="63">
        <v>1</v>
      </c>
      <c r="G383" s="63"/>
      <c r="H383" s="144" t="s">
        <v>39</v>
      </c>
      <c r="I383" s="63" t="s">
        <v>40</v>
      </c>
      <c r="J383" s="145">
        <v>4</v>
      </c>
      <c r="K383" s="145">
        <v>4</v>
      </c>
      <c r="L383" s="145">
        <v>0</v>
      </c>
      <c r="M383" s="145">
        <v>0</v>
      </c>
      <c r="N383" s="145">
        <v>0</v>
      </c>
      <c r="O383" s="145">
        <v>0</v>
      </c>
      <c r="P383" s="145">
        <v>0</v>
      </c>
      <c r="Q383" s="145">
        <v>0</v>
      </c>
      <c r="R383" s="145">
        <v>0</v>
      </c>
      <c r="S383" s="145">
        <f>SUM(J383:R383)</f>
        <v>8</v>
      </c>
      <c r="T383" s="67">
        <v>2017</v>
      </c>
    </row>
    <row r="384" spans="1:26" ht="45" x14ac:dyDescent="0.25">
      <c r="A384" s="83" t="s">
        <v>328</v>
      </c>
      <c r="B384" s="63">
        <v>1</v>
      </c>
      <c r="C384" s="63">
        <v>9</v>
      </c>
      <c r="D384" s="63">
        <v>2</v>
      </c>
      <c r="E384" s="63">
        <v>0</v>
      </c>
      <c r="F384" s="63">
        <v>2</v>
      </c>
      <c r="G384" s="146"/>
      <c r="H384" s="144" t="s">
        <v>41</v>
      </c>
      <c r="I384" s="63" t="s">
        <v>248</v>
      </c>
      <c r="J384" s="106" t="s">
        <v>262</v>
      </c>
      <c r="K384" s="106" t="s">
        <v>262</v>
      </c>
      <c r="L384" s="82" t="s">
        <v>89</v>
      </c>
      <c r="M384" s="106" t="s">
        <v>89</v>
      </c>
      <c r="N384" s="106" t="s">
        <v>89</v>
      </c>
      <c r="O384" s="106" t="s">
        <v>89</v>
      </c>
      <c r="P384" s="106" t="s">
        <v>89</v>
      </c>
      <c r="Q384" s="106" t="s">
        <v>89</v>
      </c>
      <c r="R384" s="106" t="s">
        <v>89</v>
      </c>
      <c r="S384" s="145" t="s">
        <v>89</v>
      </c>
      <c r="T384" s="67">
        <v>2017</v>
      </c>
    </row>
    <row r="385" spans="1:20" ht="15" x14ac:dyDescent="0.2">
      <c r="A385" s="83" t="s">
        <v>328</v>
      </c>
      <c r="B385" s="63">
        <v>1</v>
      </c>
      <c r="C385" s="63">
        <v>9</v>
      </c>
      <c r="D385" s="63">
        <v>2</v>
      </c>
      <c r="E385" s="63">
        <v>0</v>
      </c>
      <c r="F385" s="63">
        <v>2</v>
      </c>
      <c r="G385" s="63"/>
      <c r="H385" s="144" t="s">
        <v>42</v>
      </c>
      <c r="I385" s="63" t="s">
        <v>40</v>
      </c>
      <c r="J385" s="145">
        <v>12</v>
      </c>
      <c r="K385" s="145">
        <v>12</v>
      </c>
      <c r="L385" s="145">
        <v>0</v>
      </c>
      <c r="M385" s="145">
        <v>0</v>
      </c>
      <c r="N385" s="145">
        <v>0</v>
      </c>
      <c r="O385" s="145">
        <v>0</v>
      </c>
      <c r="P385" s="145">
        <v>0</v>
      </c>
      <c r="Q385" s="145">
        <v>0</v>
      </c>
      <c r="R385" s="145">
        <v>0</v>
      </c>
      <c r="S385" s="145">
        <f>SUM(J385:R385)</f>
        <v>24</v>
      </c>
      <c r="T385" s="67">
        <v>2017</v>
      </c>
    </row>
    <row r="386" spans="1:20" ht="15" x14ac:dyDescent="0.2">
      <c r="A386" s="147"/>
      <c r="B386" s="148"/>
      <c r="C386" s="148"/>
      <c r="D386" s="148"/>
      <c r="E386" s="148"/>
      <c r="F386" s="148"/>
      <c r="G386" s="148"/>
      <c r="H386" s="149"/>
      <c r="I386" s="148"/>
      <c r="J386" s="150"/>
      <c r="K386" s="150"/>
      <c r="L386" s="150"/>
      <c r="M386" s="150"/>
      <c r="N386" s="150"/>
      <c r="O386" s="150"/>
      <c r="P386" s="150"/>
      <c r="Q386" s="150"/>
      <c r="R386" s="150"/>
      <c r="S386" s="151"/>
      <c r="T386" s="152"/>
    </row>
    <row r="387" spans="1:20" ht="15.75" x14ac:dyDescent="0.25">
      <c r="A387" s="153"/>
      <c r="B387" s="154"/>
      <c r="C387" s="154"/>
      <c r="D387" s="154" t="s">
        <v>364</v>
      </c>
      <c r="E387" s="154"/>
      <c r="F387" s="154"/>
      <c r="G387" s="154"/>
      <c r="H387" s="154"/>
      <c r="I387" s="154"/>
    </row>
    <row r="388" spans="1:20" ht="15.75" x14ac:dyDescent="0.25">
      <c r="A388" s="153"/>
      <c r="B388" s="154"/>
      <c r="C388" s="154"/>
      <c r="D388" s="154" t="s">
        <v>363</v>
      </c>
      <c r="E388" s="154"/>
      <c r="F388" s="154"/>
      <c r="G388" s="154"/>
      <c r="H388" s="154"/>
      <c r="I388" s="154"/>
    </row>
    <row r="389" spans="1:20" hidden="1" x14ac:dyDescent="0.2">
      <c r="B389" s="154"/>
      <c r="C389" s="154"/>
      <c r="D389" s="154"/>
      <c r="E389" s="154"/>
      <c r="F389" s="154"/>
      <c r="G389" s="154"/>
      <c r="H389" s="154"/>
      <c r="I389" s="154"/>
      <c r="J389" s="154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</row>
    <row r="390" spans="1:20" hidden="1" x14ac:dyDescent="0.2">
      <c r="B390" s="154"/>
      <c r="C390" s="154"/>
      <c r="D390" s="154"/>
      <c r="E390" s="154"/>
      <c r="F390" s="154"/>
      <c r="G390" s="154"/>
      <c r="H390" s="154"/>
      <c r="I390" s="154"/>
      <c r="J390" s="154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</row>
    <row r="391" spans="1:20" hidden="1" x14ac:dyDescent="0.2"/>
    <row r="392" spans="1:20" hidden="1" x14ac:dyDescent="0.2"/>
    <row r="393" spans="1:20" hidden="1" x14ac:dyDescent="0.2"/>
    <row r="394" spans="1:20" hidden="1" x14ac:dyDescent="0.2"/>
    <row r="395" spans="1:20" hidden="1" x14ac:dyDescent="0.2"/>
    <row r="396" spans="1:20" hidden="1" x14ac:dyDescent="0.2"/>
    <row r="397" spans="1:20" hidden="1" x14ac:dyDescent="0.2"/>
    <row r="398" spans="1:20" hidden="1" x14ac:dyDescent="0.2"/>
    <row r="399" spans="1:20" hidden="1" x14ac:dyDescent="0.2"/>
    <row r="400" spans="1:20" hidden="1" x14ac:dyDescent="0.2"/>
    <row r="401" spans="1:21" hidden="1" x14ac:dyDescent="0.2"/>
    <row r="402" spans="1:21" hidden="1" x14ac:dyDescent="0.2"/>
    <row r="403" spans="1:21" hidden="1" x14ac:dyDescent="0.2"/>
    <row r="404" spans="1:21" hidden="1" x14ac:dyDescent="0.2"/>
    <row r="405" spans="1:21" hidden="1" x14ac:dyDescent="0.2"/>
    <row r="406" spans="1:21" hidden="1" x14ac:dyDescent="0.2"/>
    <row r="407" spans="1:21" hidden="1" x14ac:dyDescent="0.2"/>
    <row r="409" spans="1:21" x14ac:dyDescent="0.2">
      <c r="A409" s="154"/>
      <c r="U409" s="89"/>
    </row>
    <row r="410" spans="1:21" x14ac:dyDescent="0.2">
      <c r="A410" s="154"/>
    </row>
    <row r="411" spans="1:21" x14ac:dyDescent="0.2">
      <c r="L411" s="90"/>
      <c r="M411" s="90"/>
      <c r="N411" s="90"/>
      <c r="O411" s="90"/>
    </row>
  </sheetData>
  <autoFilter ref="A21:U388"/>
  <mergeCells count="13">
    <mergeCell ref="G19:G20"/>
    <mergeCell ref="A19:F19"/>
    <mergeCell ref="S19:T19"/>
    <mergeCell ref="E20:F20"/>
    <mergeCell ref="I19:I20"/>
    <mergeCell ref="H19:H20"/>
    <mergeCell ref="J19:R19"/>
    <mergeCell ref="A13:T17"/>
    <mergeCell ref="F12:T12"/>
    <mergeCell ref="A8:T8"/>
    <mergeCell ref="A9:T9"/>
    <mergeCell ref="A11:T11"/>
    <mergeCell ref="F10:T10"/>
  </mergeCells>
  <phoneticPr fontId="4" type="noConversion"/>
  <pageMargins left="0.39370078740157483" right="0.39370078740157483" top="0.78740157480314965" bottom="0.39370078740157483" header="0.51181102362204722" footer="0.31496062992125984"/>
  <pageSetup paperSize="9" scale="63" firstPageNumber="0" fitToHeight="0" orientation="landscape" r:id="rId1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6"/>
    <pageSetUpPr fitToPage="1"/>
  </sheetPr>
  <dimension ref="A1:R139"/>
  <sheetViews>
    <sheetView view="pageBreakPreview" topLeftCell="A11" zoomScale="98" zoomScaleNormal="100" workbookViewId="0">
      <pane xSplit="3" ySplit="4" topLeftCell="I15" activePane="bottomRight" state="frozen"/>
      <selection activeCell="A11" sqref="A11"/>
      <selection pane="topRight" activeCell="D11" sqref="D11"/>
      <selection pane="bottomLeft" activeCell="A15" sqref="A15"/>
      <selection pane="bottomRight" activeCell="I20" sqref="I20"/>
    </sheetView>
  </sheetViews>
  <sheetFormatPr defaultRowHeight="12.75" x14ac:dyDescent="0.2"/>
  <cols>
    <col min="1" max="1" width="39.140625" style="38" customWidth="1"/>
    <col min="2" max="2" width="6.28515625" style="38" customWidth="1"/>
    <col min="3" max="3" width="44.42578125" style="38" customWidth="1"/>
    <col min="4" max="6" width="9.28515625" style="38" hidden="1" customWidth="1"/>
    <col min="7" max="7" width="12.28515625" style="38" hidden="1" customWidth="1"/>
    <col min="8" max="8" width="9.42578125" style="38" hidden="1" customWidth="1"/>
    <col min="9" max="9" width="11.140625" style="46" customWidth="1"/>
    <col min="10" max="11" width="11" style="46" customWidth="1"/>
    <col min="12" max="13" width="11" style="38" customWidth="1"/>
    <col min="14" max="14" width="23.28515625" style="16" customWidth="1"/>
    <col min="15" max="15" width="11" style="38" bestFit="1" customWidth="1"/>
    <col min="16" max="16384" width="9.140625" style="38"/>
  </cols>
  <sheetData>
    <row r="1" spans="1:14" ht="15.75" x14ac:dyDescent="0.25">
      <c r="A1" s="172" t="s">
        <v>366</v>
      </c>
      <c r="B1" s="173"/>
      <c r="C1" s="173"/>
      <c r="D1" s="173"/>
      <c r="E1" s="173"/>
      <c r="F1" s="173"/>
      <c r="G1" s="173"/>
      <c r="H1" s="173"/>
      <c r="I1" s="173"/>
      <c r="J1" s="173"/>
      <c r="K1" s="39"/>
      <c r="L1" s="15"/>
      <c r="M1" s="15"/>
    </row>
    <row r="2" spans="1:14" ht="15.75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39"/>
      <c r="L2" s="15"/>
      <c r="M2" s="15"/>
    </row>
    <row r="3" spans="1:14" ht="15.75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39"/>
      <c r="L3" s="15"/>
      <c r="M3" s="15"/>
    </row>
    <row r="4" spans="1:14" ht="15.75" x14ac:dyDescent="0.25">
      <c r="A4" s="17"/>
      <c r="B4" s="18"/>
      <c r="C4" s="18"/>
      <c r="D4" s="18"/>
      <c r="E4" s="18"/>
      <c r="F4" s="18"/>
      <c r="G4" s="18"/>
      <c r="H4" s="18"/>
      <c r="I4" s="40"/>
      <c r="J4" s="40"/>
      <c r="K4" s="40"/>
      <c r="L4" s="18"/>
      <c r="M4" s="18"/>
    </row>
    <row r="5" spans="1:14" ht="15.75" x14ac:dyDescent="0.25">
      <c r="A5" s="12" t="s">
        <v>342</v>
      </c>
      <c r="B5" s="12"/>
      <c r="C5" s="12"/>
      <c r="D5" s="12"/>
      <c r="E5" s="12"/>
      <c r="F5" s="12"/>
      <c r="G5" s="12"/>
      <c r="H5" s="12"/>
      <c r="I5" s="41"/>
      <c r="J5" s="41"/>
      <c r="K5" s="41"/>
      <c r="L5" s="12"/>
      <c r="M5" s="12"/>
    </row>
    <row r="6" spans="1:14" ht="15.75" x14ac:dyDescent="0.25">
      <c r="A6" s="175" t="s">
        <v>343</v>
      </c>
      <c r="B6" s="176"/>
      <c r="C6" s="176"/>
      <c r="D6" s="176"/>
      <c r="E6" s="176"/>
      <c r="F6" s="176"/>
      <c r="G6" s="176"/>
      <c r="H6" s="176"/>
      <c r="I6" s="176"/>
      <c r="J6" s="176"/>
      <c r="K6" s="40"/>
      <c r="L6" s="18"/>
      <c r="M6" s="18"/>
    </row>
    <row r="7" spans="1:14" ht="15.75" x14ac:dyDescent="0.25">
      <c r="A7" s="176"/>
      <c r="B7" s="176"/>
      <c r="C7" s="176"/>
      <c r="D7" s="176"/>
      <c r="E7" s="176"/>
      <c r="F7" s="176"/>
      <c r="G7" s="176"/>
      <c r="H7" s="176"/>
      <c r="I7" s="176"/>
      <c r="J7" s="176"/>
      <c r="K7" s="40"/>
      <c r="L7" s="18"/>
      <c r="M7" s="18"/>
    </row>
    <row r="8" spans="1:14" ht="15.75" x14ac:dyDescent="0.2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40"/>
      <c r="L8" s="18"/>
      <c r="M8" s="18"/>
    </row>
    <row r="9" spans="1:14" ht="15.75" x14ac:dyDescent="0.25">
      <c r="A9" s="176"/>
      <c r="B9" s="176"/>
      <c r="C9" s="176"/>
      <c r="D9" s="176"/>
      <c r="E9" s="176"/>
      <c r="F9" s="176"/>
      <c r="G9" s="176"/>
      <c r="H9" s="176"/>
      <c r="I9" s="176"/>
      <c r="J9" s="176"/>
      <c r="K9" s="40"/>
      <c r="L9" s="18"/>
      <c r="M9" s="18"/>
    </row>
    <row r="11" spans="1:14" x14ac:dyDescent="0.2">
      <c r="A11" s="174" t="s">
        <v>147</v>
      </c>
      <c r="B11" s="174" t="s">
        <v>254</v>
      </c>
      <c r="C11" s="174" t="s">
        <v>148</v>
      </c>
      <c r="D11" s="171" t="s">
        <v>149</v>
      </c>
      <c r="E11" s="171"/>
      <c r="F11" s="171"/>
      <c r="G11" s="171"/>
      <c r="H11" s="171"/>
      <c r="I11" s="171"/>
      <c r="J11" s="171"/>
      <c r="K11" s="42"/>
      <c r="L11" s="19"/>
      <c r="M11" s="19"/>
    </row>
    <row r="12" spans="1:14" x14ac:dyDescent="0.2">
      <c r="A12" s="174"/>
      <c r="B12" s="174"/>
      <c r="C12" s="174"/>
      <c r="D12" s="20" t="s">
        <v>150</v>
      </c>
      <c r="E12" s="20">
        <v>2016</v>
      </c>
      <c r="F12" s="20">
        <v>2017</v>
      </c>
      <c r="G12" s="20">
        <v>2018</v>
      </c>
      <c r="H12" s="20">
        <v>2019</v>
      </c>
      <c r="I12" s="60">
        <v>2020</v>
      </c>
      <c r="J12" s="48">
        <v>2021</v>
      </c>
      <c r="K12" s="48">
        <v>2022</v>
      </c>
      <c r="L12" s="21">
        <v>2023</v>
      </c>
      <c r="M12" s="21">
        <v>2024</v>
      </c>
    </row>
    <row r="13" spans="1:14" x14ac:dyDescent="0.2">
      <c r="A13" s="174"/>
      <c r="B13" s="174"/>
      <c r="C13" s="174"/>
      <c r="D13" s="20" t="s">
        <v>151</v>
      </c>
      <c r="E13" s="20" t="s">
        <v>152</v>
      </c>
      <c r="F13" s="20" t="s">
        <v>152</v>
      </c>
      <c r="G13" s="20" t="s">
        <v>152</v>
      </c>
      <c r="H13" s="20" t="s">
        <v>152</v>
      </c>
      <c r="I13" s="60" t="s">
        <v>152</v>
      </c>
      <c r="J13" s="48" t="s">
        <v>152</v>
      </c>
      <c r="K13" s="48" t="s">
        <v>152</v>
      </c>
      <c r="L13" s="21" t="s">
        <v>152</v>
      </c>
      <c r="M13" s="21" t="s">
        <v>152</v>
      </c>
    </row>
    <row r="14" spans="1:14" x14ac:dyDescent="0.2">
      <c r="A14" s="48">
        <v>1</v>
      </c>
      <c r="B14" s="48">
        <v>2</v>
      </c>
      <c r="C14" s="48">
        <v>3</v>
      </c>
      <c r="D14" s="48">
        <v>4</v>
      </c>
      <c r="E14" s="48">
        <v>5</v>
      </c>
      <c r="F14" s="48">
        <v>6</v>
      </c>
      <c r="G14" s="48">
        <v>7</v>
      </c>
      <c r="H14" s="48">
        <v>8</v>
      </c>
      <c r="I14" s="60">
        <v>9</v>
      </c>
      <c r="J14" s="48">
        <v>10</v>
      </c>
      <c r="K14" s="48">
        <v>11</v>
      </c>
      <c r="L14" s="48">
        <v>12</v>
      </c>
      <c r="M14" s="48">
        <v>13</v>
      </c>
    </row>
    <row r="15" spans="1:14" ht="25.5" x14ac:dyDescent="0.2">
      <c r="A15" s="49" t="s">
        <v>206</v>
      </c>
      <c r="B15" s="48" t="s">
        <v>258</v>
      </c>
      <c r="C15" s="50" t="s">
        <v>153</v>
      </c>
      <c r="D15" s="3">
        <v>30330</v>
      </c>
      <c r="E15" s="3">
        <v>37033</v>
      </c>
      <c r="F15" s="3">
        <v>44827.9</v>
      </c>
      <c r="G15" s="3">
        <v>58613</v>
      </c>
      <c r="H15" s="3">
        <v>68626.5</v>
      </c>
      <c r="I15" s="3">
        <v>73026.399999999994</v>
      </c>
      <c r="J15" s="3">
        <v>89906.7</v>
      </c>
      <c r="K15" s="3">
        <v>65845.5</v>
      </c>
      <c r="L15" s="11">
        <v>56638</v>
      </c>
      <c r="M15" s="11">
        <v>60698</v>
      </c>
      <c r="N15" s="19" t="s">
        <v>207</v>
      </c>
    </row>
    <row r="16" spans="1:14" ht="51" x14ac:dyDescent="0.2">
      <c r="A16" s="177" t="s">
        <v>277</v>
      </c>
      <c r="B16" s="171" t="s">
        <v>258</v>
      </c>
      <c r="C16" s="49" t="s">
        <v>273</v>
      </c>
      <c r="D16" s="4">
        <f t="shared" ref="D16:I16" si="0">D17/D18</f>
        <v>22.409323649763266</v>
      </c>
      <c r="E16" s="4">
        <f t="shared" si="0"/>
        <v>26.494136505935156</v>
      </c>
      <c r="F16" s="4">
        <f t="shared" si="0"/>
        <v>22.866442120095385</v>
      </c>
      <c r="G16" s="4">
        <f t="shared" si="0"/>
        <v>23.423179754818015</v>
      </c>
      <c r="H16" s="4">
        <f t="shared" si="0"/>
        <v>23.784693692710608</v>
      </c>
      <c r="I16" s="4">
        <f t="shared" si="0"/>
        <v>24.276295562295388</v>
      </c>
      <c r="J16" s="4">
        <v>24.835574112734871</v>
      </c>
      <c r="K16" s="4">
        <v>25.264684888435344</v>
      </c>
      <c r="L16" s="4">
        <v>25.654107315992142</v>
      </c>
      <c r="M16" s="4">
        <v>26.073173419412299</v>
      </c>
    </row>
    <row r="17" spans="1:18" ht="25.5" x14ac:dyDescent="0.2">
      <c r="A17" s="178"/>
      <c r="B17" s="171"/>
      <c r="C17" s="22" t="s">
        <v>274</v>
      </c>
      <c r="D17" s="13">
        <f>4126900+57100</f>
        <v>4184000</v>
      </c>
      <c r="E17" s="13">
        <v>4917020.3</v>
      </c>
      <c r="F17" s="13">
        <v>4219315.9000000004</v>
      </c>
      <c r="G17" s="13">
        <f>4256272.5+G15-6308.7</f>
        <v>4308576.8</v>
      </c>
      <c r="H17" s="13">
        <f>G17+H15-17944.64</f>
        <v>4359258.66</v>
      </c>
      <c r="I17" s="13">
        <f>4372703.2+I15-11372.9</f>
        <v>4434356.7</v>
      </c>
      <c r="J17" s="13">
        <v>4520571.2000000011</v>
      </c>
      <c r="K17" s="13">
        <v>4580108.4000000013</v>
      </c>
      <c r="L17" s="13">
        <v>4630438.1000000015</v>
      </c>
      <c r="M17" s="13">
        <v>4684827.8000000017</v>
      </c>
      <c r="N17" s="16" t="s">
        <v>208</v>
      </c>
      <c r="O17" s="38" t="s">
        <v>479</v>
      </c>
    </row>
    <row r="18" spans="1:18" x14ac:dyDescent="0.2">
      <c r="A18" s="178"/>
      <c r="B18" s="171"/>
      <c r="C18" s="23" t="s">
        <v>356</v>
      </c>
      <c r="D18" s="8">
        <v>186708</v>
      </c>
      <c r="E18" s="8">
        <v>185589</v>
      </c>
      <c r="F18" s="8">
        <v>184520</v>
      </c>
      <c r="G18" s="8">
        <v>183945</v>
      </c>
      <c r="H18" s="9">
        <v>183280</v>
      </c>
      <c r="I18" s="9">
        <v>182662</v>
      </c>
      <c r="J18" s="9">
        <v>182020</v>
      </c>
      <c r="K18" s="9">
        <v>181285</v>
      </c>
      <c r="L18" s="9">
        <v>180495</v>
      </c>
      <c r="M18" s="9">
        <v>179680</v>
      </c>
      <c r="N18" s="16" t="s">
        <v>209</v>
      </c>
      <c r="O18" s="47"/>
    </row>
    <row r="19" spans="1:18" ht="51" x14ac:dyDescent="0.2">
      <c r="A19" s="179" t="s">
        <v>205</v>
      </c>
      <c r="B19" s="171" t="s">
        <v>261</v>
      </c>
      <c r="C19" s="50" t="s">
        <v>210</v>
      </c>
      <c r="D19" s="4">
        <f t="shared" ref="D19:I19" si="1">D20/D21*100</f>
        <v>1.684976099426386</v>
      </c>
      <c r="E19" s="4">
        <f t="shared" si="1"/>
        <v>1.2334360303535863</v>
      </c>
      <c r="F19" s="4">
        <f t="shared" si="1"/>
        <v>2.44260449898999</v>
      </c>
      <c r="G19" s="4">
        <f t="shared" si="1"/>
        <v>2.3555550872390159</v>
      </c>
      <c r="H19" s="4">
        <f t="shared" si="1"/>
        <v>2.0716013213127384</v>
      </c>
      <c r="I19" s="4">
        <f t="shared" si="1"/>
        <v>2.034245463383674</v>
      </c>
      <c r="J19" s="4">
        <v>1.9485015521932263</v>
      </c>
      <c r="K19" s="4">
        <v>1.8738311957856708</v>
      </c>
      <c r="L19" s="4">
        <v>1.8046586131882412</v>
      </c>
      <c r="M19" s="4">
        <v>1.7354682705733586</v>
      </c>
    </row>
    <row r="20" spans="1:18" ht="25.5" x14ac:dyDescent="0.2">
      <c r="A20" s="178"/>
      <c r="B20" s="171"/>
      <c r="C20" s="23" t="s">
        <v>155</v>
      </c>
      <c r="D20" s="3" t="s">
        <v>156</v>
      </c>
      <c r="E20" s="3">
        <v>60648.3</v>
      </c>
      <c r="F20" s="3">
        <f>101885.2+9126.3-7950.3</f>
        <v>103061.2</v>
      </c>
      <c r="G20" s="3">
        <f>100787.7-6308.7+7011.9</f>
        <v>101490.9</v>
      </c>
      <c r="H20" s="3">
        <f>G20-17944.64+6760.2</f>
        <v>90306.459999999992</v>
      </c>
      <c r="I20" s="3">
        <f>92603.2-11372.9+8975.4</f>
        <v>90205.7</v>
      </c>
      <c r="J20" s="3">
        <v>88083.39999999998</v>
      </c>
      <c r="K20" s="3">
        <v>85823.499999999971</v>
      </c>
      <c r="L20" s="3">
        <v>83563.599999999962</v>
      </c>
      <c r="M20" s="3">
        <v>81303.699999999953</v>
      </c>
      <c r="N20" s="16" t="s">
        <v>208</v>
      </c>
      <c r="O20" s="38" t="s">
        <v>480</v>
      </c>
    </row>
    <row r="21" spans="1:18" ht="25.5" x14ac:dyDescent="0.2">
      <c r="A21" s="178"/>
      <c r="B21" s="171"/>
      <c r="C21" s="22" t="s">
        <v>274</v>
      </c>
      <c r="D21" s="13">
        <f>4126900+57100</f>
        <v>4184000</v>
      </c>
      <c r="E21" s="24" t="s">
        <v>157</v>
      </c>
      <c r="F21" s="13">
        <f>F17</f>
        <v>4219315.9000000004</v>
      </c>
      <c r="G21" s="13">
        <f>G17</f>
        <v>4308576.8</v>
      </c>
      <c r="H21" s="13">
        <f>H17</f>
        <v>4359258.66</v>
      </c>
      <c r="I21" s="13">
        <f>I17</f>
        <v>4434356.7</v>
      </c>
      <c r="J21" s="13">
        <v>4520571.2000000011</v>
      </c>
      <c r="K21" s="13">
        <v>4580108.4000000013</v>
      </c>
      <c r="L21" s="13">
        <v>4630438.1000000015</v>
      </c>
      <c r="M21" s="13">
        <v>4684827.8000000017</v>
      </c>
      <c r="N21" s="16" t="s">
        <v>208</v>
      </c>
      <c r="R21" s="47"/>
    </row>
    <row r="22" spans="1:18" ht="51" x14ac:dyDescent="0.2">
      <c r="A22" s="179" t="s">
        <v>338</v>
      </c>
      <c r="B22" s="171" t="s">
        <v>261</v>
      </c>
      <c r="C22" s="25" t="s">
        <v>281</v>
      </c>
      <c r="D22" s="13">
        <f t="shared" ref="D22:I22" si="2">D23/D29*100</f>
        <v>4.4973181130518496</v>
      </c>
      <c r="E22" s="13">
        <f t="shared" si="2"/>
        <v>5.0748210800260249</v>
      </c>
      <c r="F22" s="13">
        <f t="shared" si="2"/>
        <v>20.33898305084746</v>
      </c>
      <c r="G22" s="13">
        <f t="shared" si="2"/>
        <v>2.9440491139946978</v>
      </c>
      <c r="H22" s="13">
        <f t="shared" si="2"/>
        <v>3.0885862698301279</v>
      </c>
      <c r="I22" s="13">
        <f t="shared" si="2"/>
        <v>0.71208933484382586</v>
      </c>
      <c r="J22" s="13">
        <v>3.3333333333333335</v>
      </c>
      <c r="K22" s="13">
        <v>2.9209621993127146</v>
      </c>
      <c r="L22" s="13">
        <v>5.9497248252268333</v>
      </c>
      <c r="M22" s="13">
        <v>6.0395591121848105</v>
      </c>
      <c r="N22" s="16" t="s">
        <v>104</v>
      </c>
    </row>
    <row r="23" spans="1:18" ht="25.5" x14ac:dyDescent="0.2">
      <c r="A23" s="178"/>
      <c r="B23" s="171"/>
      <c r="C23" s="23" t="s">
        <v>282</v>
      </c>
      <c r="D23" s="13">
        <f>D25+D26+D27+D28</f>
        <v>327</v>
      </c>
      <c r="E23" s="13">
        <f>E25+E26+E27+E28</f>
        <v>390</v>
      </c>
      <c r="F23" s="13">
        <f>F25+F26+F27+F28</f>
        <v>768</v>
      </c>
      <c r="G23" s="13">
        <v>211</v>
      </c>
      <c r="H23" s="13">
        <v>220</v>
      </c>
      <c r="I23" s="13">
        <v>44</v>
      </c>
      <c r="J23" s="13">
        <v>200</v>
      </c>
      <c r="K23" s="13">
        <v>170</v>
      </c>
      <c r="L23" s="13">
        <v>400</v>
      </c>
      <c r="M23" s="13">
        <v>400</v>
      </c>
    </row>
    <row r="24" spans="1:18" x14ac:dyDescent="0.2">
      <c r="A24" s="178"/>
      <c r="B24" s="171"/>
      <c r="C24" s="23" t="s">
        <v>279</v>
      </c>
      <c r="D24" s="13"/>
      <c r="E24" s="24"/>
      <c r="F24" s="24"/>
      <c r="G24" s="24"/>
      <c r="H24" s="24"/>
      <c r="I24" s="24"/>
      <c r="J24" s="24"/>
      <c r="K24" s="24"/>
      <c r="L24" s="24"/>
      <c r="M24" s="24"/>
    </row>
    <row r="25" spans="1:18" ht="25.5" hidden="1" x14ac:dyDescent="0.2">
      <c r="A25" s="178"/>
      <c r="B25" s="171"/>
      <c r="C25" s="23" t="s">
        <v>283</v>
      </c>
      <c r="D25" s="7">
        <v>54</v>
      </c>
      <c r="E25" s="7">
        <v>96</v>
      </c>
      <c r="F25" s="7">
        <v>132</v>
      </c>
      <c r="G25" s="7">
        <v>87</v>
      </c>
      <c r="H25" s="7">
        <v>87</v>
      </c>
      <c r="I25" s="7">
        <v>87</v>
      </c>
      <c r="J25" s="7">
        <v>87</v>
      </c>
      <c r="K25" s="7">
        <v>87</v>
      </c>
      <c r="L25" s="7">
        <v>87</v>
      </c>
      <c r="M25" s="7">
        <v>87</v>
      </c>
    </row>
    <row r="26" spans="1:18" ht="38.25" hidden="1" x14ac:dyDescent="0.2">
      <c r="A26" s="178"/>
      <c r="B26" s="171"/>
      <c r="C26" s="23" t="s">
        <v>280</v>
      </c>
      <c r="D26" s="7">
        <v>247</v>
      </c>
      <c r="E26" s="1">
        <v>280</v>
      </c>
      <c r="F26" s="1">
        <v>632</v>
      </c>
      <c r="G26" s="7">
        <v>115</v>
      </c>
      <c r="H26" s="7">
        <v>100</v>
      </c>
      <c r="I26" s="7">
        <v>100</v>
      </c>
      <c r="J26" s="7">
        <v>100</v>
      </c>
      <c r="K26" s="7">
        <v>100</v>
      </c>
      <c r="L26" s="7">
        <v>100</v>
      </c>
      <c r="M26" s="7">
        <v>100</v>
      </c>
    </row>
    <row r="27" spans="1:18" ht="25.5" hidden="1" x14ac:dyDescent="0.2">
      <c r="A27" s="178"/>
      <c r="B27" s="171"/>
      <c r="C27" s="23" t="s">
        <v>284</v>
      </c>
      <c r="D27" s="7">
        <v>12</v>
      </c>
      <c r="E27" s="3">
        <v>9</v>
      </c>
      <c r="F27" s="3">
        <v>4</v>
      </c>
      <c r="G27" s="3">
        <v>5</v>
      </c>
      <c r="H27" s="3">
        <f>H127</f>
        <v>10</v>
      </c>
      <c r="I27" s="3">
        <f>I127</f>
        <v>7</v>
      </c>
      <c r="J27" s="3">
        <v>7</v>
      </c>
      <c r="K27" s="3">
        <v>7</v>
      </c>
      <c r="L27" s="3">
        <v>7</v>
      </c>
      <c r="M27" s="3">
        <v>7</v>
      </c>
    </row>
    <row r="28" spans="1:18" ht="25.5" hidden="1" x14ac:dyDescent="0.2">
      <c r="A28" s="178"/>
      <c r="B28" s="171"/>
      <c r="C28" s="23" t="s">
        <v>344</v>
      </c>
      <c r="D28" s="7">
        <v>14</v>
      </c>
      <c r="E28" s="7">
        <v>5</v>
      </c>
      <c r="F28" s="7">
        <v>0</v>
      </c>
      <c r="G28" s="7">
        <v>1</v>
      </c>
      <c r="H28" s="7">
        <v>5</v>
      </c>
      <c r="I28" s="7">
        <v>5</v>
      </c>
      <c r="J28" s="7">
        <v>5</v>
      </c>
      <c r="K28" s="7">
        <v>5</v>
      </c>
      <c r="L28" s="7">
        <v>5</v>
      </c>
      <c r="M28" s="7">
        <v>5</v>
      </c>
    </row>
    <row r="29" spans="1:18" ht="25.5" x14ac:dyDescent="0.2">
      <c r="A29" s="178"/>
      <c r="B29" s="171"/>
      <c r="C29" s="50" t="s">
        <v>288</v>
      </c>
      <c r="D29" s="7">
        <f>D31+D32+D33+D34</f>
        <v>7271</v>
      </c>
      <c r="E29" s="7">
        <f>E31+E32+E33+E34</f>
        <v>7685</v>
      </c>
      <c r="F29" s="7">
        <f>F31+F32+F33+F34</f>
        <v>3776</v>
      </c>
      <c r="G29" s="7">
        <v>7167</v>
      </c>
      <c r="H29" s="7">
        <f>6500+623</f>
        <v>7123</v>
      </c>
      <c r="I29" s="7">
        <v>6179</v>
      </c>
      <c r="J29" s="7">
        <v>6000</v>
      </c>
      <c r="K29" s="7">
        <v>5820</v>
      </c>
      <c r="L29" s="7">
        <v>6723</v>
      </c>
      <c r="M29" s="7">
        <v>6623</v>
      </c>
    </row>
    <row r="30" spans="1:18" hidden="1" x14ac:dyDescent="0.2">
      <c r="A30" s="178"/>
      <c r="B30" s="171"/>
      <c r="C30" s="23" t="s">
        <v>279</v>
      </c>
      <c r="D30" s="7"/>
      <c r="E30" s="7"/>
      <c r="F30" s="7"/>
      <c r="G30" s="7"/>
      <c r="H30" s="7"/>
      <c r="I30" s="7"/>
      <c r="J30" s="44"/>
      <c r="K30" s="44"/>
      <c r="L30" s="7"/>
      <c r="M30" s="7"/>
    </row>
    <row r="31" spans="1:18" ht="25.5" hidden="1" x14ac:dyDescent="0.2">
      <c r="A31" s="178"/>
      <c r="B31" s="171"/>
      <c r="C31" s="23" t="s">
        <v>345</v>
      </c>
      <c r="D31" s="7" t="s">
        <v>158</v>
      </c>
      <c r="E31" s="7" t="s">
        <v>158</v>
      </c>
      <c r="F31" s="7">
        <v>634</v>
      </c>
      <c r="G31" s="7">
        <v>590</v>
      </c>
      <c r="H31" s="7">
        <v>623</v>
      </c>
      <c r="I31" s="7">
        <v>623</v>
      </c>
      <c r="J31" s="44">
        <v>623</v>
      </c>
      <c r="K31" s="44">
        <v>623</v>
      </c>
      <c r="L31" s="7">
        <v>623</v>
      </c>
      <c r="M31" s="7">
        <v>623</v>
      </c>
    </row>
    <row r="32" spans="1:18" ht="38.25" hidden="1" x14ac:dyDescent="0.2">
      <c r="A32" s="178"/>
      <c r="B32" s="171"/>
      <c r="C32" s="26" t="s">
        <v>286</v>
      </c>
      <c r="D32" s="7">
        <f>6842-2330-270</f>
        <v>4242</v>
      </c>
      <c r="E32" s="7">
        <f>6800-2330-270</f>
        <v>4200</v>
      </c>
      <c r="F32" s="7">
        <v>477</v>
      </c>
      <c r="G32" s="7">
        <v>406</v>
      </c>
      <c r="H32" s="7">
        <v>620</v>
      </c>
      <c r="I32" s="7">
        <v>620</v>
      </c>
      <c r="J32" s="44">
        <v>620</v>
      </c>
      <c r="K32" s="44">
        <v>620</v>
      </c>
      <c r="L32" s="7">
        <v>620</v>
      </c>
      <c r="M32" s="7">
        <v>620</v>
      </c>
    </row>
    <row r="33" spans="1:14" ht="25.5" hidden="1" x14ac:dyDescent="0.2">
      <c r="A33" s="178"/>
      <c r="B33" s="171"/>
      <c r="C33" s="23" t="s">
        <v>287</v>
      </c>
      <c r="D33" s="7">
        <v>257</v>
      </c>
      <c r="E33" s="7">
        <v>275</v>
      </c>
      <c r="F33" s="7">
        <v>275</v>
      </c>
      <c r="G33" s="7">
        <v>281</v>
      </c>
      <c r="H33" s="7">
        <v>275</v>
      </c>
      <c r="I33" s="7">
        <v>275</v>
      </c>
      <c r="J33" s="44">
        <v>275</v>
      </c>
      <c r="K33" s="44">
        <v>275</v>
      </c>
      <c r="L33" s="7">
        <v>275</v>
      </c>
      <c r="M33" s="7">
        <v>275</v>
      </c>
    </row>
    <row r="34" spans="1:14" ht="38.25" hidden="1" x14ac:dyDescent="0.2">
      <c r="A34" s="178"/>
      <c r="B34" s="171"/>
      <c r="C34" s="23" t="s">
        <v>285</v>
      </c>
      <c r="D34" s="7">
        <v>1950</v>
      </c>
      <c r="E34" s="27">
        <v>2388</v>
      </c>
      <c r="F34" s="27">
        <v>2390</v>
      </c>
      <c r="G34" s="27">
        <v>2388</v>
      </c>
      <c r="H34" s="27">
        <v>2388</v>
      </c>
      <c r="I34" s="27">
        <v>2388</v>
      </c>
      <c r="J34" s="45">
        <v>2388</v>
      </c>
      <c r="K34" s="45">
        <v>2388</v>
      </c>
      <c r="L34" s="27">
        <v>2388</v>
      </c>
      <c r="M34" s="27">
        <v>2388</v>
      </c>
    </row>
    <row r="35" spans="1:14" ht="51" x14ac:dyDescent="0.2">
      <c r="A35" s="179" t="s">
        <v>346</v>
      </c>
      <c r="B35" s="171" t="s">
        <v>261</v>
      </c>
      <c r="C35" s="50" t="s">
        <v>347</v>
      </c>
      <c r="D35" s="4">
        <f t="shared" ref="D35:I35" si="3">D36/D37*100</f>
        <v>6.5693430656934311</v>
      </c>
      <c r="E35" s="4">
        <f t="shared" si="3"/>
        <v>16.301703163017031</v>
      </c>
      <c r="F35" s="4">
        <f t="shared" si="3"/>
        <v>20.820189274447952</v>
      </c>
      <c r="G35" s="4">
        <f t="shared" si="3"/>
        <v>14.745762711864408</v>
      </c>
      <c r="H35" s="4">
        <f t="shared" si="3"/>
        <v>14.333333333333334</v>
      </c>
      <c r="I35" s="4">
        <f t="shared" si="3"/>
        <v>10.037174721189592</v>
      </c>
      <c r="J35" s="4">
        <v>13.888888888888889</v>
      </c>
      <c r="K35" s="4">
        <v>13.636363636363635</v>
      </c>
      <c r="L35" s="4">
        <v>10.833333333333334</v>
      </c>
      <c r="M35" s="4">
        <v>10.833333333333334</v>
      </c>
    </row>
    <row r="36" spans="1:14" ht="25.5" x14ac:dyDescent="0.2">
      <c r="A36" s="178"/>
      <c r="B36" s="171"/>
      <c r="C36" s="22" t="s">
        <v>181</v>
      </c>
      <c r="D36" s="7">
        <v>54</v>
      </c>
      <c r="E36" s="7">
        <f>85+49</f>
        <v>134</v>
      </c>
      <c r="F36" s="7">
        <v>132</v>
      </c>
      <c r="G36" s="7">
        <v>87</v>
      </c>
      <c r="H36" s="7">
        <v>86</v>
      </c>
      <c r="I36" s="7">
        <v>54</v>
      </c>
      <c r="J36" s="7">
        <v>75</v>
      </c>
      <c r="K36" s="7">
        <v>75</v>
      </c>
      <c r="L36" s="7">
        <v>65</v>
      </c>
      <c r="M36" s="7">
        <v>65</v>
      </c>
      <c r="N36" s="54" t="s">
        <v>104</v>
      </c>
    </row>
    <row r="37" spans="1:14" ht="25.5" x14ac:dyDescent="0.2">
      <c r="A37" s="178"/>
      <c r="B37" s="171"/>
      <c r="C37" s="22" t="s">
        <v>348</v>
      </c>
      <c r="D37" s="7" t="s">
        <v>158</v>
      </c>
      <c r="E37" s="7" t="s">
        <v>158</v>
      </c>
      <c r="F37" s="7">
        <v>634</v>
      </c>
      <c r="G37" s="7">
        <v>590</v>
      </c>
      <c r="H37" s="7">
        <v>600</v>
      </c>
      <c r="I37" s="7">
        <v>538</v>
      </c>
      <c r="J37" s="7">
        <v>540</v>
      </c>
      <c r="K37" s="7">
        <v>550</v>
      </c>
      <c r="L37" s="7">
        <v>600</v>
      </c>
      <c r="M37" s="7">
        <v>600</v>
      </c>
      <c r="N37" s="54" t="s">
        <v>104</v>
      </c>
    </row>
    <row r="38" spans="1:14" ht="25.5" x14ac:dyDescent="0.2">
      <c r="A38" s="177" t="s">
        <v>339</v>
      </c>
      <c r="B38" s="171" t="s">
        <v>301</v>
      </c>
      <c r="C38" s="22" t="s">
        <v>86</v>
      </c>
      <c r="D38" s="3">
        <f t="shared" ref="D38:I38" si="4">D39/D40</f>
        <v>35.056850078341668</v>
      </c>
      <c r="E38" s="3">
        <f t="shared" si="4"/>
        <v>41.198671962060843</v>
      </c>
      <c r="F38" s="3">
        <f t="shared" si="4"/>
        <v>35.352754526640361</v>
      </c>
      <c r="G38" s="3">
        <f t="shared" si="4"/>
        <v>36.100652707605427</v>
      </c>
      <c r="H38" s="3">
        <f t="shared" si="4"/>
        <v>36.525305281150239</v>
      </c>
      <c r="I38" s="3">
        <f t="shared" si="4"/>
        <v>37.154535857024356</v>
      </c>
      <c r="J38" s="3">
        <v>37.876908897435264</v>
      </c>
      <c r="K38" s="3">
        <v>38.375758489807218</v>
      </c>
      <c r="L38" s="3">
        <v>38.797460389278513</v>
      </c>
      <c r="M38" s="3">
        <v>39.253180169083961</v>
      </c>
    </row>
    <row r="39" spans="1:14" ht="25.5" x14ac:dyDescent="0.2">
      <c r="A39" s="177"/>
      <c r="B39" s="171"/>
      <c r="C39" s="22" t="s">
        <v>274</v>
      </c>
      <c r="D39" s="13">
        <f t="shared" ref="D39:I39" si="5">D21</f>
        <v>4184000</v>
      </c>
      <c r="E39" s="13" t="str">
        <f t="shared" si="5"/>
        <v>4 917 020,3</v>
      </c>
      <c r="F39" s="13">
        <f t="shared" si="5"/>
        <v>4219315.9000000004</v>
      </c>
      <c r="G39" s="13">
        <f t="shared" si="5"/>
        <v>4308576.8</v>
      </c>
      <c r="H39" s="13">
        <f t="shared" si="5"/>
        <v>4359258.66</v>
      </c>
      <c r="I39" s="13">
        <f t="shared" si="5"/>
        <v>4434356.7</v>
      </c>
      <c r="J39" s="13">
        <v>4520571.2000000011</v>
      </c>
      <c r="K39" s="13">
        <v>4580108.4000000013</v>
      </c>
      <c r="L39" s="13">
        <v>4630438.1000000015</v>
      </c>
      <c r="M39" s="13">
        <v>4684827.8000000017</v>
      </c>
    </row>
    <row r="40" spans="1:14" ht="25.5" x14ac:dyDescent="0.2">
      <c r="A40" s="177"/>
      <c r="B40" s="171"/>
      <c r="C40" s="50" t="s">
        <v>173</v>
      </c>
      <c r="D40" s="8">
        <v>119349</v>
      </c>
      <c r="E40" s="8">
        <v>119349</v>
      </c>
      <c r="F40" s="8">
        <v>119349</v>
      </c>
      <c r="G40" s="8">
        <v>119349</v>
      </c>
      <c r="H40" s="8">
        <v>119349</v>
      </c>
      <c r="I40" s="8">
        <v>119349</v>
      </c>
      <c r="J40" s="8">
        <v>119349</v>
      </c>
      <c r="K40" s="8">
        <v>119349</v>
      </c>
      <c r="L40" s="8">
        <v>119349</v>
      </c>
      <c r="M40" s="8">
        <v>119349</v>
      </c>
    </row>
    <row r="41" spans="1:14" ht="38.25" x14ac:dyDescent="0.2">
      <c r="A41" s="179" t="s">
        <v>340</v>
      </c>
      <c r="B41" s="171" t="s">
        <v>260</v>
      </c>
      <c r="C41" s="49" t="s">
        <v>399</v>
      </c>
      <c r="D41" s="4">
        <f t="shared" ref="D41:I41" si="6">D42/D46*10000</f>
        <v>4.3383250851597142</v>
      </c>
      <c r="E41" s="4">
        <f t="shared" si="6"/>
        <v>4.3644828087871588</v>
      </c>
      <c r="F41" s="4">
        <f t="shared" si="6"/>
        <v>4.3897680468241926</v>
      </c>
      <c r="G41" s="4">
        <f t="shared" si="6"/>
        <v>4.4034901736932239</v>
      </c>
      <c r="H41" s="4">
        <f t="shared" si="6"/>
        <v>4.419467481449149</v>
      </c>
      <c r="I41" s="4">
        <f t="shared" si="6"/>
        <v>4.4344198574416138</v>
      </c>
      <c r="J41" s="4">
        <v>4.4500604329194591</v>
      </c>
      <c r="K41" s="4">
        <v>4.4681027112005953</v>
      </c>
      <c r="L41" s="4">
        <v>4.5984653314496242</v>
      </c>
      <c r="M41" s="4">
        <v>4.674977738201247</v>
      </c>
    </row>
    <row r="42" spans="1:14" ht="25.5" x14ac:dyDescent="0.2">
      <c r="A42" s="179"/>
      <c r="B42" s="171"/>
      <c r="C42" s="23" t="s">
        <v>239</v>
      </c>
      <c r="D42" s="7">
        <f t="shared" ref="D42:I42" si="7">SUM(D43:D45)</f>
        <v>81</v>
      </c>
      <c r="E42" s="7">
        <f t="shared" si="7"/>
        <v>81</v>
      </c>
      <c r="F42" s="7">
        <f t="shared" si="7"/>
        <v>81</v>
      </c>
      <c r="G42" s="7">
        <f t="shared" si="7"/>
        <v>81</v>
      </c>
      <c r="H42" s="7">
        <f t="shared" si="7"/>
        <v>81</v>
      </c>
      <c r="I42" s="7">
        <f t="shared" si="7"/>
        <v>81</v>
      </c>
      <c r="J42" s="7">
        <v>81</v>
      </c>
      <c r="K42" s="7">
        <v>81</v>
      </c>
      <c r="L42" s="7">
        <v>83</v>
      </c>
      <c r="M42" s="7">
        <v>84</v>
      </c>
    </row>
    <row r="43" spans="1:14" ht="25.5" x14ac:dyDescent="0.2">
      <c r="A43" s="179"/>
      <c r="B43" s="171"/>
      <c r="C43" s="28" t="s">
        <v>240</v>
      </c>
      <c r="D43" s="7">
        <v>1</v>
      </c>
      <c r="E43" s="7">
        <v>1</v>
      </c>
      <c r="F43" s="7">
        <v>1</v>
      </c>
      <c r="G43" s="7">
        <v>1</v>
      </c>
      <c r="H43" s="7">
        <v>1</v>
      </c>
      <c r="I43" s="7">
        <v>1</v>
      </c>
      <c r="J43" s="7">
        <v>1</v>
      </c>
      <c r="K43" s="7">
        <v>1</v>
      </c>
      <c r="L43" s="7">
        <v>2</v>
      </c>
      <c r="M43" s="7">
        <v>3</v>
      </c>
    </row>
    <row r="44" spans="1:14" ht="38.25" x14ac:dyDescent="0.2">
      <c r="A44" s="179"/>
      <c r="B44" s="171"/>
      <c r="C44" s="28" t="s">
        <v>242</v>
      </c>
      <c r="D44" s="7">
        <v>12</v>
      </c>
      <c r="E44" s="7">
        <v>12</v>
      </c>
      <c r="F44" s="7">
        <v>12</v>
      </c>
      <c r="G44" s="7">
        <v>12</v>
      </c>
      <c r="H44" s="7">
        <v>12</v>
      </c>
      <c r="I44" s="7">
        <v>12</v>
      </c>
      <c r="J44" s="7">
        <v>12</v>
      </c>
      <c r="K44" s="7">
        <v>12</v>
      </c>
      <c r="L44" s="7">
        <v>12</v>
      </c>
      <c r="M44" s="7">
        <v>12</v>
      </c>
    </row>
    <row r="45" spans="1:14" ht="38.25" x14ac:dyDescent="0.2">
      <c r="A45" s="179"/>
      <c r="B45" s="171"/>
      <c r="C45" s="28" t="s">
        <v>241</v>
      </c>
      <c r="D45" s="7">
        <v>68</v>
      </c>
      <c r="E45" s="7">
        <v>68</v>
      </c>
      <c r="F45" s="7">
        <v>68</v>
      </c>
      <c r="G45" s="7">
        <v>68</v>
      </c>
      <c r="H45" s="7">
        <v>68</v>
      </c>
      <c r="I45" s="7">
        <v>68</v>
      </c>
      <c r="J45" s="7">
        <v>68</v>
      </c>
      <c r="K45" s="7">
        <v>68</v>
      </c>
      <c r="L45" s="7">
        <v>69</v>
      </c>
      <c r="M45" s="7">
        <v>69</v>
      </c>
    </row>
    <row r="46" spans="1:14" x14ac:dyDescent="0.2">
      <c r="A46" s="179"/>
      <c r="B46" s="171"/>
      <c r="C46" s="26" t="s">
        <v>183</v>
      </c>
      <c r="D46" s="8">
        <f t="shared" ref="D46:I46" si="8">D18</f>
        <v>186708</v>
      </c>
      <c r="E46" s="8">
        <f t="shared" si="8"/>
        <v>185589</v>
      </c>
      <c r="F46" s="8">
        <f t="shared" si="8"/>
        <v>184520</v>
      </c>
      <c r="G46" s="8">
        <f t="shared" si="8"/>
        <v>183945</v>
      </c>
      <c r="H46" s="8">
        <f t="shared" si="8"/>
        <v>183280</v>
      </c>
      <c r="I46" s="8">
        <f t="shared" si="8"/>
        <v>182662</v>
      </c>
      <c r="J46" s="8">
        <v>182020</v>
      </c>
      <c r="K46" s="8">
        <v>181285</v>
      </c>
      <c r="L46" s="8">
        <v>180495</v>
      </c>
      <c r="M46" s="8">
        <v>179680</v>
      </c>
    </row>
    <row r="47" spans="1:14" ht="51.75" customHeight="1" x14ac:dyDescent="0.2">
      <c r="A47" s="189" t="s">
        <v>302</v>
      </c>
      <c r="B47" s="171" t="s">
        <v>260</v>
      </c>
      <c r="C47" s="55" t="s">
        <v>246</v>
      </c>
      <c r="D47" s="48" t="s">
        <v>404</v>
      </c>
      <c r="E47" s="48">
        <f>SUM(E48:E58)</f>
        <v>2</v>
      </c>
      <c r="F47" s="48">
        <f>SUM(F48:F61)</f>
        <v>5</v>
      </c>
      <c r="G47" s="48">
        <f>F47+SUM(G48:G61)</f>
        <v>5</v>
      </c>
      <c r="H47" s="48">
        <v>5</v>
      </c>
      <c r="I47" s="59">
        <f>6+3</f>
        <v>9</v>
      </c>
      <c r="J47" s="48">
        <v>11</v>
      </c>
      <c r="K47" s="48">
        <v>12</v>
      </c>
      <c r="L47" s="48">
        <v>14</v>
      </c>
      <c r="M47" s="48">
        <v>15</v>
      </c>
    </row>
    <row r="48" spans="1:14" ht="25.5" hidden="1" x14ac:dyDescent="0.2">
      <c r="A48" s="189"/>
      <c r="B48" s="171"/>
      <c r="C48" s="29" t="s">
        <v>191</v>
      </c>
      <c r="D48" s="30" t="s">
        <v>94</v>
      </c>
      <c r="E48" s="48"/>
      <c r="F48" s="48"/>
      <c r="G48" s="48"/>
      <c r="H48" s="48"/>
      <c r="I48" s="43">
        <v>1</v>
      </c>
      <c r="J48" s="43"/>
      <c r="K48" s="43"/>
      <c r="L48" s="48"/>
      <c r="M48" s="48"/>
    </row>
    <row r="49" spans="1:14" ht="25.5" hidden="1" x14ac:dyDescent="0.2">
      <c r="A49" s="189"/>
      <c r="B49" s="171"/>
      <c r="C49" s="29" t="s">
        <v>393</v>
      </c>
      <c r="D49" s="30" t="s">
        <v>94</v>
      </c>
      <c r="E49" s="48"/>
      <c r="F49" s="48">
        <v>1</v>
      </c>
      <c r="G49" s="48"/>
      <c r="H49" s="48">
        <v>1</v>
      </c>
      <c r="I49" s="43"/>
      <c r="J49" s="43"/>
      <c r="K49" s="43"/>
      <c r="L49" s="48"/>
      <c r="M49" s="48"/>
    </row>
    <row r="50" spans="1:14" ht="25.5" hidden="1" x14ac:dyDescent="0.2">
      <c r="A50" s="189"/>
      <c r="B50" s="171"/>
      <c r="C50" s="29" t="s">
        <v>192</v>
      </c>
      <c r="D50" s="30" t="s">
        <v>94</v>
      </c>
      <c r="E50" s="48">
        <v>1</v>
      </c>
      <c r="F50" s="48">
        <v>1</v>
      </c>
      <c r="G50" s="48"/>
      <c r="H50" s="48"/>
      <c r="I50" s="43"/>
      <c r="J50" s="43">
        <v>1</v>
      </c>
      <c r="K50" s="43">
        <v>1</v>
      </c>
      <c r="L50" s="48">
        <v>1</v>
      </c>
      <c r="M50" s="48">
        <v>1</v>
      </c>
    </row>
    <row r="51" spans="1:14" ht="38.25" hidden="1" x14ac:dyDescent="0.2">
      <c r="A51" s="189"/>
      <c r="B51" s="171"/>
      <c r="C51" s="29" t="s">
        <v>193</v>
      </c>
      <c r="D51" s="30" t="s">
        <v>94</v>
      </c>
      <c r="E51" s="48"/>
      <c r="F51" s="48"/>
      <c r="G51" s="48"/>
      <c r="H51" s="48"/>
      <c r="I51" s="43"/>
      <c r="J51" s="43">
        <v>1</v>
      </c>
      <c r="K51" s="43">
        <v>1</v>
      </c>
      <c r="L51" s="48">
        <v>1</v>
      </c>
      <c r="M51" s="48">
        <v>1</v>
      </c>
    </row>
    <row r="52" spans="1:14" ht="38.25" hidden="1" x14ac:dyDescent="0.2">
      <c r="A52" s="189"/>
      <c r="B52" s="171"/>
      <c r="C52" s="29" t="s">
        <v>194</v>
      </c>
      <c r="D52" s="30" t="s">
        <v>94</v>
      </c>
      <c r="E52" s="48">
        <v>1</v>
      </c>
      <c r="F52" s="48">
        <v>1</v>
      </c>
      <c r="G52" s="48"/>
      <c r="H52" s="48"/>
      <c r="I52" s="43"/>
      <c r="J52" s="43"/>
      <c r="K52" s="43"/>
      <c r="L52" s="48"/>
      <c r="M52" s="48"/>
    </row>
    <row r="53" spans="1:14" ht="38.25" hidden="1" x14ac:dyDescent="0.2">
      <c r="A53" s="189"/>
      <c r="B53" s="171"/>
      <c r="C53" s="29" t="s">
        <v>195</v>
      </c>
      <c r="D53" s="30" t="s">
        <v>94</v>
      </c>
      <c r="E53" s="48"/>
      <c r="F53" s="48"/>
      <c r="G53" s="48"/>
      <c r="H53" s="48"/>
      <c r="I53" s="43"/>
      <c r="J53" s="43"/>
      <c r="K53" s="43"/>
      <c r="L53" s="48"/>
      <c r="M53" s="48"/>
    </row>
    <row r="54" spans="1:14" ht="25.5" hidden="1" x14ac:dyDescent="0.2">
      <c r="A54" s="189"/>
      <c r="B54" s="171"/>
      <c r="C54" s="29" t="s">
        <v>196</v>
      </c>
      <c r="D54" s="30" t="s">
        <v>94</v>
      </c>
      <c r="E54" s="48"/>
      <c r="F54" s="48"/>
      <c r="G54" s="48"/>
      <c r="H54" s="48"/>
      <c r="I54" s="43"/>
      <c r="J54" s="43"/>
      <c r="K54" s="43"/>
      <c r="L54" s="48"/>
      <c r="M54" s="48"/>
    </row>
    <row r="55" spans="1:14" ht="38.25" hidden="1" x14ac:dyDescent="0.2">
      <c r="A55" s="189"/>
      <c r="B55" s="171"/>
      <c r="C55" s="29" t="s">
        <v>197</v>
      </c>
      <c r="D55" s="30" t="s">
        <v>94</v>
      </c>
      <c r="E55" s="48"/>
      <c r="F55" s="48">
        <v>1</v>
      </c>
      <c r="G55" s="48"/>
      <c r="H55" s="48"/>
      <c r="I55" s="43"/>
      <c r="J55" s="43"/>
      <c r="K55" s="43"/>
      <c r="L55" s="48"/>
      <c r="M55" s="48"/>
    </row>
    <row r="56" spans="1:14" ht="51" hidden="1" x14ac:dyDescent="0.2">
      <c r="A56" s="189"/>
      <c r="B56" s="171"/>
      <c r="C56" s="29" t="s">
        <v>198</v>
      </c>
      <c r="D56" s="30" t="s">
        <v>94</v>
      </c>
      <c r="E56" s="48"/>
      <c r="F56" s="48">
        <v>1</v>
      </c>
      <c r="G56" s="48"/>
      <c r="H56" s="48"/>
      <c r="I56" s="43"/>
      <c r="J56" s="43"/>
      <c r="K56" s="43"/>
      <c r="L56" s="48"/>
      <c r="M56" s="48"/>
    </row>
    <row r="57" spans="1:14" ht="38.25" hidden="1" x14ac:dyDescent="0.2">
      <c r="A57" s="189"/>
      <c r="B57" s="171"/>
      <c r="C57" s="29" t="s">
        <v>199</v>
      </c>
      <c r="D57" s="30" t="s">
        <v>94</v>
      </c>
      <c r="E57" s="48"/>
      <c r="F57" s="48"/>
      <c r="G57" s="48"/>
      <c r="H57" s="48"/>
      <c r="I57" s="43"/>
      <c r="J57" s="43"/>
      <c r="K57" s="43"/>
      <c r="L57" s="48"/>
      <c r="M57" s="48"/>
    </row>
    <row r="58" spans="1:14" ht="25.5" hidden="1" x14ac:dyDescent="0.2">
      <c r="A58" s="189"/>
      <c r="B58" s="171"/>
      <c r="C58" s="29" t="s">
        <v>394</v>
      </c>
      <c r="D58" s="30"/>
      <c r="E58" s="48"/>
      <c r="F58" s="48"/>
      <c r="G58" s="48"/>
      <c r="H58" s="48"/>
      <c r="I58" s="43"/>
      <c r="J58" s="43">
        <v>1</v>
      </c>
      <c r="K58" s="43">
        <v>1</v>
      </c>
      <c r="L58" s="48">
        <v>1</v>
      </c>
      <c r="M58" s="48">
        <v>1</v>
      </c>
    </row>
    <row r="59" spans="1:14" ht="25.5" hidden="1" x14ac:dyDescent="0.2">
      <c r="A59" s="189"/>
      <c r="B59" s="171"/>
      <c r="C59" s="29" t="s">
        <v>232</v>
      </c>
      <c r="D59" s="30"/>
      <c r="E59" s="48"/>
      <c r="F59" s="48"/>
      <c r="G59" s="48"/>
      <c r="H59" s="48">
        <v>1</v>
      </c>
      <c r="I59" s="43"/>
      <c r="J59" s="43"/>
      <c r="K59" s="43"/>
      <c r="L59" s="48"/>
      <c r="M59" s="48"/>
    </row>
    <row r="60" spans="1:14" ht="38.25" hidden="1" x14ac:dyDescent="0.2">
      <c r="A60" s="189"/>
      <c r="B60" s="171"/>
      <c r="C60" s="29" t="s">
        <v>233</v>
      </c>
      <c r="D60" s="30"/>
      <c r="E60" s="48"/>
      <c r="F60" s="48"/>
      <c r="G60" s="48"/>
      <c r="H60" s="48">
        <v>1</v>
      </c>
      <c r="I60" s="43"/>
      <c r="J60" s="43"/>
      <c r="K60" s="43"/>
      <c r="L60" s="48"/>
      <c r="M60" s="48"/>
    </row>
    <row r="61" spans="1:14" ht="51" hidden="1" x14ac:dyDescent="0.2">
      <c r="A61" s="189"/>
      <c r="B61" s="171"/>
      <c r="C61" s="29" t="s">
        <v>396</v>
      </c>
      <c r="D61" s="30"/>
      <c r="E61" s="48"/>
      <c r="F61" s="48"/>
      <c r="G61" s="48"/>
      <c r="H61" s="48"/>
      <c r="I61" s="43"/>
      <c r="J61" s="43">
        <v>1</v>
      </c>
      <c r="K61" s="43">
        <v>1</v>
      </c>
      <c r="L61" s="48">
        <v>1</v>
      </c>
      <c r="M61" s="48">
        <v>1</v>
      </c>
    </row>
    <row r="62" spans="1:14" ht="15.75" x14ac:dyDescent="0.2">
      <c r="A62" s="180" t="s">
        <v>55</v>
      </c>
      <c r="B62" s="180"/>
      <c r="C62" s="180"/>
      <c r="D62" s="180"/>
      <c r="E62" s="180"/>
      <c r="F62" s="180"/>
      <c r="G62" s="180"/>
      <c r="H62" s="180"/>
      <c r="I62" s="180"/>
      <c r="J62" s="180"/>
      <c r="K62" s="56"/>
      <c r="L62" s="51"/>
      <c r="M62" s="51"/>
    </row>
    <row r="63" spans="1:14" ht="63.75" x14ac:dyDescent="0.2">
      <c r="A63" s="177" t="s">
        <v>295</v>
      </c>
      <c r="B63" s="183" t="s">
        <v>162</v>
      </c>
      <c r="C63" s="50" t="s">
        <v>349</v>
      </c>
      <c r="D63" s="4">
        <f t="shared" ref="D63:I63" si="9">D64/D65</f>
        <v>5.4857852903999825E-2</v>
      </c>
      <c r="E63" s="4">
        <f t="shared" si="9"/>
        <v>7.2692885893021683E-2</v>
      </c>
      <c r="F63" s="4">
        <f t="shared" si="9"/>
        <v>0.11160470409711684</v>
      </c>
      <c r="G63" s="4">
        <f t="shared" si="9"/>
        <v>2.1763570632526028E-2</v>
      </c>
      <c r="H63" s="4">
        <f t="shared" si="9"/>
        <v>2.2239742470536884E-2</v>
      </c>
      <c r="I63" s="4">
        <f t="shared" si="9"/>
        <v>3.2941607997284607E-2</v>
      </c>
      <c r="J63" s="4">
        <v>3.6062245907043176E-2</v>
      </c>
      <c r="K63" s="4">
        <v>2.2078384863612546E-2</v>
      </c>
      <c r="L63" s="4">
        <v>1.6620959029335993E-2</v>
      </c>
      <c r="M63" s="4">
        <v>1.6696349065004452E-2</v>
      </c>
    </row>
    <row r="64" spans="1:14" ht="51" x14ac:dyDescent="0.2">
      <c r="A64" s="177"/>
      <c r="B64" s="183"/>
      <c r="C64" s="26" t="s">
        <v>350</v>
      </c>
      <c r="D64" s="3">
        <v>10242.4</v>
      </c>
      <c r="E64" s="31">
        <v>13491</v>
      </c>
      <c r="F64" s="31">
        <f>[1]прил_4!K50</f>
        <v>20593.3</v>
      </c>
      <c r="G64" s="31">
        <f>прил_4!L51</f>
        <v>4003.3</v>
      </c>
      <c r="H64" s="31">
        <f>прил_4!M51</f>
        <v>4076.1</v>
      </c>
      <c r="I64" s="31">
        <f>прил_4!N51</f>
        <v>6017.18</v>
      </c>
      <c r="J64" s="31">
        <v>6564.0499999999993</v>
      </c>
      <c r="K64" s="31">
        <v>4002.48</v>
      </c>
      <c r="L64" s="31">
        <v>3000</v>
      </c>
      <c r="M64" s="31">
        <v>3000</v>
      </c>
      <c r="N64" s="54" t="s">
        <v>207</v>
      </c>
    </row>
    <row r="65" spans="1:14" x14ac:dyDescent="0.2">
      <c r="A65" s="177"/>
      <c r="B65" s="183"/>
      <c r="C65" s="50" t="s">
        <v>154</v>
      </c>
      <c r="D65" s="8">
        <v>186708</v>
      </c>
      <c r="E65" s="8">
        <v>185589</v>
      </c>
      <c r="F65" s="8">
        <v>184520</v>
      </c>
      <c r="G65" s="8">
        <f>G18</f>
        <v>183945</v>
      </c>
      <c r="H65" s="8">
        <f>H18</f>
        <v>183280</v>
      </c>
      <c r="I65" s="8">
        <f>I18</f>
        <v>182662</v>
      </c>
      <c r="J65" s="8">
        <v>182020</v>
      </c>
      <c r="K65" s="8">
        <v>181285</v>
      </c>
      <c r="L65" s="8">
        <v>180495</v>
      </c>
      <c r="M65" s="8">
        <v>179680</v>
      </c>
      <c r="N65" s="54" t="s">
        <v>209</v>
      </c>
    </row>
    <row r="66" spans="1:14" ht="51" x14ac:dyDescent="0.2">
      <c r="A66" s="177" t="s">
        <v>377</v>
      </c>
      <c r="B66" s="171" t="s">
        <v>261</v>
      </c>
      <c r="C66" s="50" t="s">
        <v>296</v>
      </c>
      <c r="D66" s="27">
        <f t="shared" ref="D66:I66" si="10">D67/D68*100</f>
        <v>33.769864820309927</v>
      </c>
      <c r="E66" s="27">
        <f t="shared" si="10"/>
        <v>36.42967083412092</v>
      </c>
      <c r="F66" s="27">
        <f t="shared" si="10"/>
        <v>45.938578429950987</v>
      </c>
      <c r="G66" s="27">
        <f t="shared" si="10"/>
        <v>6.8300547660075415</v>
      </c>
      <c r="H66" s="27">
        <f t="shared" si="10"/>
        <v>5.9395423050862277</v>
      </c>
      <c r="I66" s="27">
        <f t="shared" si="10"/>
        <v>8.2397324803084935</v>
      </c>
      <c r="J66" s="27">
        <v>7.3009575482138693</v>
      </c>
      <c r="K66" s="27">
        <v>6.0785930701414674</v>
      </c>
      <c r="L66" s="27">
        <v>5.2967972032910771</v>
      </c>
      <c r="M66" s="27">
        <v>4.9425022241260015</v>
      </c>
    </row>
    <row r="67" spans="1:14" ht="38.25" x14ac:dyDescent="0.2">
      <c r="A67" s="177"/>
      <c r="B67" s="171"/>
      <c r="C67" s="26" t="s">
        <v>351</v>
      </c>
      <c r="D67" s="3">
        <v>10242.4</v>
      </c>
      <c r="E67" s="31">
        <v>13491</v>
      </c>
      <c r="F67" s="31">
        <f>F64</f>
        <v>20593.3</v>
      </c>
      <c r="G67" s="31">
        <f>прил_4!L51</f>
        <v>4003.3</v>
      </c>
      <c r="H67" s="31">
        <f>прил_4!M51</f>
        <v>4076.1</v>
      </c>
      <c r="I67" s="31">
        <f>прил_4!N51</f>
        <v>6017.18</v>
      </c>
      <c r="J67" s="31">
        <v>6564.0499999999993</v>
      </c>
      <c r="K67" s="31">
        <v>4002.48</v>
      </c>
      <c r="L67" s="31">
        <v>3000</v>
      </c>
      <c r="M67" s="31">
        <v>3000</v>
      </c>
      <c r="N67" s="16" t="s">
        <v>211</v>
      </c>
    </row>
    <row r="68" spans="1:14" x14ac:dyDescent="0.2">
      <c r="A68" s="177"/>
      <c r="B68" s="171"/>
      <c r="C68" s="50" t="s">
        <v>153</v>
      </c>
      <c r="D68" s="3">
        <v>30330</v>
      </c>
      <c r="E68" s="3">
        <v>37033</v>
      </c>
      <c r="F68" s="3">
        <f>F15</f>
        <v>44827.9</v>
      </c>
      <c r="G68" s="3">
        <f>G15</f>
        <v>58613</v>
      </c>
      <c r="H68" s="3">
        <f>H15</f>
        <v>68626.5</v>
      </c>
      <c r="I68" s="3">
        <f>I15</f>
        <v>73026.399999999994</v>
      </c>
      <c r="J68" s="3">
        <v>89906.7</v>
      </c>
      <c r="K68" s="3">
        <v>65845.5</v>
      </c>
      <c r="L68" s="3">
        <v>56638</v>
      </c>
      <c r="M68" s="3">
        <v>60698</v>
      </c>
      <c r="N68" s="54" t="s">
        <v>209</v>
      </c>
    </row>
    <row r="69" spans="1:14" ht="51" x14ac:dyDescent="0.2">
      <c r="A69" s="179" t="s">
        <v>81</v>
      </c>
      <c r="B69" s="171" t="s">
        <v>261</v>
      </c>
      <c r="C69" s="50" t="s">
        <v>82</v>
      </c>
      <c r="D69" s="6">
        <f t="shared" ref="D69:I69" si="11">D70/D71*100</f>
        <v>0.88511391586311383</v>
      </c>
      <c r="E69" s="6">
        <f t="shared" si="11"/>
        <v>9.8015608021989067</v>
      </c>
      <c r="F69" s="6">
        <f t="shared" si="11"/>
        <v>3.4822028076521523</v>
      </c>
      <c r="G69" s="6">
        <f t="shared" si="11"/>
        <v>0.20311180608310694</v>
      </c>
      <c r="H69" s="6">
        <f t="shared" si="11"/>
        <v>0.98698365543284505</v>
      </c>
      <c r="I69" s="6">
        <f t="shared" si="11"/>
        <v>2.417663185364118</v>
      </c>
      <c r="J69" s="6">
        <v>0.56764384662717393</v>
      </c>
      <c r="K69" s="6">
        <v>0.58259101528136259</v>
      </c>
      <c r="L69" s="6">
        <v>0.59834664854075248</v>
      </c>
      <c r="M69" s="6">
        <v>0.6149781621254633</v>
      </c>
      <c r="N69" s="19"/>
    </row>
    <row r="70" spans="1:14" ht="38.25" x14ac:dyDescent="0.2">
      <c r="A70" s="179"/>
      <c r="B70" s="171"/>
      <c r="C70" s="23" t="s">
        <v>319</v>
      </c>
      <c r="D70" s="6">
        <v>624</v>
      </c>
      <c r="E70" s="5">
        <v>5944.48</v>
      </c>
      <c r="F70" s="2">
        <v>3588.8</v>
      </c>
      <c r="G70" s="3">
        <v>206.14</v>
      </c>
      <c r="H70" s="3">
        <v>891.31</v>
      </c>
      <c r="I70" s="3">
        <v>2180.87</v>
      </c>
      <c r="J70" s="3">
        <v>500</v>
      </c>
      <c r="K70" s="3">
        <v>500</v>
      </c>
      <c r="L70" s="3">
        <v>500</v>
      </c>
      <c r="M70" s="3">
        <v>500</v>
      </c>
      <c r="N70" s="19"/>
    </row>
    <row r="71" spans="1:14" ht="25.5" x14ac:dyDescent="0.2">
      <c r="A71" s="188"/>
      <c r="B71" s="184"/>
      <c r="C71" s="23" t="s">
        <v>84</v>
      </c>
      <c r="D71" s="7" t="s">
        <v>156</v>
      </c>
      <c r="E71" s="7">
        <v>60648.3</v>
      </c>
      <c r="F71" s="7">
        <f>F20</f>
        <v>103061.2</v>
      </c>
      <c r="G71" s="7">
        <f>G20</f>
        <v>101490.9</v>
      </c>
      <c r="H71" s="7">
        <f>H20</f>
        <v>90306.459999999992</v>
      </c>
      <c r="I71" s="7">
        <f>I20</f>
        <v>90205.7</v>
      </c>
      <c r="J71" s="7">
        <v>88083.39999999998</v>
      </c>
      <c r="K71" s="7">
        <v>85823.499999999971</v>
      </c>
      <c r="L71" s="7">
        <v>83563.599999999962</v>
      </c>
      <c r="M71" s="7">
        <v>81303.699999999953</v>
      </c>
      <c r="N71" s="19" t="s">
        <v>453</v>
      </c>
    </row>
    <row r="72" spans="1:14" ht="63.75" x14ac:dyDescent="0.2">
      <c r="A72" s="179" t="s">
        <v>105</v>
      </c>
      <c r="B72" s="171" t="s">
        <v>261</v>
      </c>
      <c r="C72" s="22" t="s">
        <v>332</v>
      </c>
      <c r="D72" s="13">
        <f t="shared" ref="D72:I72" si="12">D73/D74*100</f>
        <v>9.3828476882066365</v>
      </c>
      <c r="E72" s="13">
        <f t="shared" si="12"/>
        <v>23.390495449949441</v>
      </c>
      <c r="F72" s="13">
        <f t="shared" si="12"/>
        <v>29.5534060506277</v>
      </c>
      <c r="G72" s="13">
        <f t="shared" si="12"/>
        <v>2.0066445182724255</v>
      </c>
      <c r="H72" s="13">
        <f t="shared" si="12"/>
        <v>5.9473684210526319</v>
      </c>
      <c r="I72" s="13">
        <f t="shared" si="12"/>
        <v>13.816817755548607</v>
      </c>
      <c r="J72" s="13">
        <v>12.641993404177354</v>
      </c>
      <c r="K72" s="13">
        <v>12.038590604026846</v>
      </c>
      <c r="L72" s="13">
        <v>15.69811320754717</v>
      </c>
      <c r="M72" s="13">
        <v>16.5</v>
      </c>
      <c r="N72" s="19"/>
    </row>
    <row r="73" spans="1:14" ht="38.25" x14ac:dyDescent="0.2">
      <c r="A73" s="179"/>
      <c r="B73" s="171"/>
      <c r="C73" s="32" t="s">
        <v>318</v>
      </c>
      <c r="D73" s="27">
        <v>507</v>
      </c>
      <c r="E73" s="27">
        <v>1149</v>
      </c>
      <c r="F73" s="27">
        <v>1436</v>
      </c>
      <c r="G73" s="27">
        <v>115</v>
      </c>
      <c r="H73" s="27">
        <v>339</v>
      </c>
      <c r="I73" s="27">
        <v>442</v>
      </c>
      <c r="J73" s="27">
        <v>345</v>
      </c>
      <c r="K73" s="27">
        <v>287</v>
      </c>
      <c r="L73" s="27">
        <v>832</v>
      </c>
      <c r="M73" s="27">
        <v>858</v>
      </c>
      <c r="N73" s="19"/>
    </row>
    <row r="74" spans="1:14" ht="38.25" x14ac:dyDescent="0.2">
      <c r="A74" s="188"/>
      <c r="B74" s="171"/>
      <c r="C74" s="26" t="s">
        <v>275</v>
      </c>
      <c r="D74" s="33">
        <f>165*(4945/151)</f>
        <v>5403.4768211920527</v>
      </c>
      <c r="E74" s="33">
        <f>150*(4945/151)</f>
        <v>4912.2516556291393</v>
      </c>
      <c r="F74" s="33">
        <v>4859</v>
      </c>
      <c r="G74" s="33">
        <f>175*(4945/151)</f>
        <v>5730.960264900662</v>
      </c>
      <c r="H74" s="33">
        <v>5700</v>
      </c>
      <c r="I74" s="33">
        <v>3199</v>
      </c>
      <c r="J74" s="33">
        <v>2729</v>
      </c>
      <c r="K74" s="33">
        <v>2384</v>
      </c>
      <c r="L74" s="33">
        <v>5300</v>
      </c>
      <c r="M74" s="33">
        <v>5200</v>
      </c>
      <c r="N74" s="19"/>
    </row>
    <row r="75" spans="1:14" ht="15.75" x14ac:dyDescent="0.2">
      <c r="A75" s="180" t="s">
        <v>49</v>
      </c>
      <c r="B75" s="180"/>
      <c r="C75" s="180"/>
      <c r="D75" s="180"/>
      <c r="E75" s="180"/>
      <c r="F75" s="180"/>
      <c r="G75" s="180"/>
      <c r="H75" s="180"/>
      <c r="I75" s="180"/>
      <c r="J75" s="180"/>
      <c r="K75" s="56"/>
      <c r="L75" s="51"/>
      <c r="M75" s="51"/>
    </row>
    <row r="76" spans="1:14" ht="38.25" x14ac:dyDescent="0.2">
      <c r="A76" s="177" t="s">
        <v>303</v>
      </c>
      <c r="B76" s="171" t="s">
        <v>402</v>
      </c>
      <c r="C76" s="50" t="s">
        <v>93</v>
      </c>
      <c r="D76" s="4">
        <f t="shared" ref="D76:I76" si="13">(D77+D78)/D79*100</f>
        <v>0.87041252614513587</v>
      </c>
      <c r="E76" s="4">
        <f t="shared" si="13"/>
        <v>0.87083126832259528</v>
      </c>
      <c r="F76" s="4">
        <f t="shared" si="13"/>
        <v>1.1487307653525369</v>
      </c>
      <c r="G76" s="4">
        <f t="shared" si="13"/>
        <v>1.9657097774670267</v>
      </c>
      <c r="H76" s="4">
        <f t="shared" si="13"/>
        <v>1.9657097774670267</v>
      </c>
      <c r="I76" s="4">
        <f t="shared" si="13"/>
        <v>2.0477066903940617</v>
      </c>
      <c r="J76" s="4">
        <v>2.0607508479478058</v>
      </c>
      <c r="K76" s="4">
        <v>2.0743579032281301</v>
      </c>
      <c r="L76" s="4">
        <v>2.0743579032281301</v>
      </c>
      <c r="M76" s="4">
        <v>2.0743579032281301</v>
      </c>
      <c r="N76" s="19"/>
    </row>
    <row r="77" spans="1:14" x14ac:dyDescent="0.2">
      <c r="A77" s="177"/>
      <c r="B77" s="178"/>
      <c r="C77" s="50" t="s">
        <v>163</v>
      </c>
      <c r="D77" s="3">
        <v>98.22</v>
      </c>
      <c r="E77" s="3">
        <f>D77+D78</f>
        <v>103.62</v>
      </c>
      <c r="F77" s="3">
        <f>E77+E78</f>
        <v>103.66985000000001</v>
      </c>
      <c r="G77" s="3">
        <v>177.4</v>
      </c>
      <c r="H77" s="3">
        <v>177.4</v>
      </c>
      <c r="I77" s="3">
        <v>184.8</v>
      </c>
      <c r="J77" s="3">
        <v>184.9</v>
      </c>
      <c r="K77" s="3">
        <v>185.97720000000001</v>
      </c>
      <c r="L77" s="3">
        <v>187.20520000000002</v>
      </c>
      <c r="M77" s="3">
        <v>187.20520000000002</v>
      </c>
      <c r="N77" s="19"/>
    </row>
    <row r="78" spans="1:14" x14ac:dyDescent="0.2">
      <c r="A78" s="177"/>
      <c r="B78" s="178"/>
      <c r="C78" s="50" t="s">
        <v>164</v>
      </c>
      <c r="D78" s="7">
        <v>5.4</v>
      </c>
      <c r="E78" s="7">
        <v>4.9849999999999998E-2</v>
      </c>
      <c r="F78" s="7">
        <v>0</v>
      </c>
      <c r="G78" s="7">
        <v>0</v>
      </c>
      <c r="H78" s="7">
        <v>0</v>
      </c>
      <c r="I78" s="7">
        <v>0</v>
      </c>
      <c r="J78" s="7">
        <v>1.0771999999999999</v>
      </c>
      <c r="K78" s="7">
        <v>1.228</v>
      </c>
      <c r="L78" s="7"/>
      <c r="M78" s="7"/>
      <c r="N78" s="19"/>
    </row>
    <row r="79" spans="1:14" x14ac:dyDescent="0.2">
      <c r="A79" s="177"/>
      <c r="B79" s="178"/>
      <c r="C79" s="26" t="s">
        <v>403</v>
      </c>
      <c r="D79" s="7">
        <v>11904.7</v>
      </c>
      <c r="E79" s="7">
        <v>11904.7</v>
      </c>
      <c r="F79" s="7">
        <v>9024.73</v>
      </c>
      <c r="G79" s="7">
        <v>9024.73</v>
      </c>
      <c r="H79" s="7">
        <v>9024.73</v>
      </c>
      <c r="I79" s="7">
        <v>9024.73</v>
      </c>
      <c r="J79" s="7">
        <v>9024.73</v>
      </c>
      <c r="K79" s="7">
        <v>9024.73</v>
      </c>
      <c r="L79" s="7">
        <v>9024.73</v>
      </c>
      <c r="M79" s="7">
        <v>9024.73</v>
      </c>
      <c r="N79" s="19"/>
    </row>
    <row r="80" spans="1:14" ht="51" x14ac:dyDescent="0.2">
      <c r="A80" s="177" t="s">
        <v>165</v>
      </c>
      <c r="B80" s="171" t="s">
        <v>402</v>
      </c>
      <c r="C80" s="50" t="s">
        <v>188</v>
      </c>
      <c r="D80" s="10">
        <f t="shared" ref="D80:I80" si="14">D81/D82*100</f>
        <v>0.52478445567202081</v>
      </c>
      <c r="E80" s="10">
        <f t="shared" si="14"/>
        <v>0.547893153692113</v>
      </c>
      <c r="F80" s="10">
        <f t="shared" si="14"/>
        <v>0.55027105380019947</v>
      </c>
      <c r="G80" s="10">
        <f t="shared" si="14"/>
        <v>0.55686934955466749</v>
      </c>
      <c r="H80" s="10">
        <f t="shared" si="14"/>
        <v>0.561814510385508</v>
      </c>
      <c r="I80" s="10">
        <f t="shared" si="14"/>
        <v>0.58232578404511137</v>
      </c>
      <c r="J80" s="10">
        <v>0.57310911695950528</v>
      </c>
      <c r="K80" s="10">
        <v>0.57729851108932628</v>
      </c>
      <c r="L80" s="10">
        <v>0.57972835968462233</v>
      </c>
      <c r="M80" s="10">
        <v>0.57972835968462233</v>
      </c>
    </row>
    <row r="81" spans="1:14" ht="25.5" x14ac:dyDescent="0.2">
      <c r="A81" s="177"/>
      <c r="B81" s="171"/>
      <c r="C81" s="22" t="s">
        <v>166</v>
      </c>
      <c r="D81" s="7" t="s">
        <v>167</v>
      </c>
      <c r="E81" s="7">
        <v>653.90499999999997</v>
      </c>
      <c r="F81" s="7">
        <v>656.74300000000005</v>
      </c>
      <c r="G81" s="7">
        <v>664.61800000000005</v>
      </c>
      <c r="H81" s="7">
        <v>670.52</v>
      </c>
      <c r="I81" s="7">
        <v>695</v>
      </c>
      <c r="J81" s="7">
        <v>684</v>
      </c>
      <c r="K81" s="7">
        <v>689</v>
      </c>
      <c r="L81" s="7">
        <v>691.9</v>
      </c>
      <c r="M81" s="7">
        <v>691.9</v>
      </c>
      <c r="N81" s="16" t="s">
        <v>213</v>
      </c>
    </row>
    <row r="82" spans="1:14" ht="25.5" x14ac:dyDescent="0.2">
      <c r="A82" s="177"/>
      <c r="B82" s="171"/>
      <c r="C82" s="50" t="s">
        <v>173</v>
      </c>
      <c r="D82" s="8">
        <v>119349</v>
      </c>
      <c r="E82" s="8">
        <v>119349</v>
      </c>
      <c r="F82" s="8">
        <v>119349</v>
      </c>
      <c r="G82" s="8">
        <v>119349</v>
      </c>
      <c r="H82" s="8">
        <v>119349</v>
      </c>
      <c r="I82" s="8">
        <v>119349</v>
      </c>
      <c r="J82" s="8">
        <v>119349</v>
      </c>
      <c r="K82" s="8">
        <v>119349</v>
      </c>
      <c r="L82" s="8">
        <v>119349</v>
      </c>
      <c r="M82" s="8">
        <v>119349</v>
      </c>
    </row>
    <row r="83" spans="1:14" ht="51" x14ac:dyDescent="0.2">
      <c r="A83" s="186" t="s">
        <v>276</v>
      </c>
      <c r="B83" s="171" t="s">
        <v>261</v>
      </c>
      <c r="C83" s="50" t="s">
        <v>272</v>
      </c>
      <c r="D83" s="57">
        <f t="shared" ref="D83:I83" si="15">D84/D87*100</f>
        <v>116.45907119264594</v>
      </c>
      <c r="E83" s="57">
        <f t="shared" si="15"/>
        <v>111.23724711841882</v>
      </c>
      <c r="F83" s="57">
        <f t="shared" si="15"/>
        <v>112.00588884799411</v>
      </c>
      <c r="G83" s="57">
        <f t="shared" si="15"/>
        <v>112.95221632300283</v>
      </c>
      <c r="H83" s="57">
        <f t="shared" si="15"/>
        <v>114.29285232468085</v>
      </c>
      <c r="I83" s="57">
        <f t="shared" si="15"/>
        <v>116.53807959666946</v>
      </c>
      <c r="J83" s="57">
        <v>118.81928398971935</v>
      </c>
      <c r="K83" s="57">
        <v>118.81928398971935</v>
      </c>
      <c r="L83" s="57">
        <v>118.81928398971935</v>
      </c>
      <c r="M83" s="57">
        <v>118.81928398971935</v>
      </c>
    </row>
    <row r="84" spans="1:14" ht="25.5" x14ac:dyDescent="0.2">
      <c r="A84" s="187"/>
      <c r="B84" s="184"/>
      <c r="C84" s="26" t="s">
        <v>306</v>
      </c>
      <c r="D84" s="48">
        <f t="shared" ref="D84:I84" si="16">D85+D86</f>
        <v>11706</v>
      </c>
      <c r="E84" s="48">
        <f t="shared" si="16"/>
        <v>11342</v>
      </c>
      <c r="F84" s="48">
        <f t="shared" si="16"/>
        <v>11412</v>
      </c>
      <c r="G84" s="48">
        <f t="shared" si="16"/>
        <v>11435</v>
      </c>
      <c r="H84" s="48">
        <f t="shared" si="16"/>
        <v>11437</v>
      </c>
      <c r="I84" s="59">
        <f t="shared" si="16"/>
        <v>11442</v>
      </c>
      <c r="J84" s="48">
        <v>11442</v>
      </c>
      <c r="K84" s="48">
        <v>11442</v>
      </c>
      <c r="L84" s="48">
        <v>11442</v>
      </c>
      <c r="M84" s="48">
        <v>11442</v>
      </c>
    </row>
    <row r="85" spans="1:14" ht="25.5" x14ac:dyDescent="0.2">
      <c r="A85" s="187"/>
      <c r="B85" s="184"/>
      <c r="C85" s="26" t="s">
        <v>307</v>
      </c>
      <c r="D85" s="7">
        <v>2560</v>
      </c>
      <c r="E85" s="7">
        <v>2224</v>
      </c>
      <c r="F85" s="7">
        <v>2292</v>
      </c>
      <c r="G85" s="7">
        <v>2310</v>
      </c>
      <c r="H85" s="7">
        <v>2310</v>
      </c>
      <c r="I85" s="7">
        <v>2310</v>
      </c>
      <c r="J85" s="7">
        <v>2310</v>
      </c>
      <c r="K85" s="7">
        <v>2310</v>
      </c>
      <c r="L85" s="7">
        <v>2310</v>
      </c>
      <c r="M85" s="7">
        <v>2310</v>
      </c>
    </row>
    <row r="86" spans="1:14" ht="25.5" x14ac:dyDescent="0.2">
      <c r="A86" s="187"/>
      <c r="B86" s="184"/>
      <c r="C86" s="26" t="s">
        <v>308</v>
      </c>
      <c r="D86" s="7">
        <v>9146</v>
      </c>
      <c r="E86" s="7">
        <v>9118</v>
      </c>
      <c r="F86" s="7">
        <v>9120</v>
      </c>
      <c r="G86" s="7">
        <v>9125</v>
      </c>
      <c r="H86" s="7">
        <v>9127</v>
      </c>
      <c r="I86" s="7">
        <v>9132</v>
      </c>
      <c r="J86" s="7">
        <v>9132</v>
      </c>
      <c r="K86" s="7">
        <v>9132</v>
      </c>
      <c r="L86" s="7">
        <v>9132</v>
      </c>
      <c r="M86" s="7">
        <v>9132</v>
      </c>
    </row>
    <row r="87" spans="1:14" ht="25.5" x14ac:dyDescent="0.2">
      <c r="A87" s="187"/>
      <c r="B87" s="184"/>
      <c r="C87" s="26" t="s">
        <v>309</v>
      </c>
      <c r="D87" s="33">
        <f t="shared" ref="D87:I87" si="17">D89*D88/100</f>
        <v>10051.6</v>
      </c>
      <c r="E87" s="33">
        <f t="shared" si="17"/>
        <v>10196.225</v>
      </c>
      <c r="F87" s="33">
        <f t="shared" si="17"/>
        <v>10188.75</v>
      </c>
      <c r="G87" s="33">
        <f t="shared" si="17"/>
        <v>10123.75</v>
      </c>
      <c r="H87" s="33">
        <f t="shared" si="17"/>
        <v>10006.75</v>
      </c>
      <c r="I87" s="33">
        <f t="shared" si="17"/>
        <v>9818.25</v>
      </c>
      <c r="J87" s="33">
        <v>9629.75</v>
      </c>
      <c r="K87" s="33">
        <v>9629.75</v>
      </c>
      <c r="L87" s="33">
        <v>9629.75</v>
      </c>
      <c r="M87" s="33">
        <v>9629.75</v>
      </c>
    </row>
    <row r="88" spans="1:14" ht="191.25" x14ac:dyDescent="0.2">
      <c r="A88" s="187"/>
      <c r="B88" s="184"/>
      <c r="C88" s="50" t="s">
        <v>320</v>
      </c>
      <c r="D88" s="48">
        <v>65</v>
      </c>
      <c r="E88" s="48">
        <v>65</v>
      </c>
      <c r="F88" s="48">
        <v>65</v>
      </c>
      <c r="G88" s="48">
        <v>65</v>
      </c>
      <c r="H88" s="48">
        <v>65</v>
      </c>
      <c r="I88" s="59">
        <v>65</v>
      </c>
      <c r="J88" s="48">
        <v>65</v>
      </c>
      <c r="K88" s="48">
        <v>65</v>
      </c>
      <c r="L88" s="48">
        <v>65</v>
      </c>
      <c r="M88" s="48">
        <v>65</v>
      </c>
    </row>
    <row r="89" spans="1:14" ht="25.5" x14ac:dyDescent="0.2">
      <c r="A89" s="187"/>
      <c r="B89" s="184"/>
      <c r="C89" s="25" t="s">
        <v>310</v>
      </c>
      <c r="D89" s="1">
        <f>(15285+15643)/2</f>
        <v>15464</v>
      </c>
      <c r="E89" s="27">
        <f>(15643+15730)/2</f>
        <v>15686.5</v>
      </c>
      <c r="F89" s="7">
        <f>(15730+15620)/2</f>
        <v>15675</v>
      </c>
      <c r="G89" s="7">
        <f>(15620+15530)/2</f>
        <v>15575</v>
      </c>
      <c r="H89" s="7">
        <f>(15530+15260)/2</f>
        <v>15395</v>
      </c>
      <c r="I89" s="7">
        <f>(15260+14950)/2</f>
        <v>15105</v>
      </c>
      <c r="J89" s="7">
        <v>14815</v>
      </c>
      <c r="K89" s="7">
        <v>14815</v>
      </c>
      <c r="L89" s="7">
        <v>14815</v>
      </c>
      <c r="M89" s="7">
        <v>14815</v>
      </c>
    </row>
    <row r="90" spans="1:14" ht="51" x14ac:dyDescent="0.2">
      <c r="A90" s="177" t="s">
        <v>352</v>
      </c>
      <c r="B90" s="171" t="s">
        <v>261</v>
      </c>
      <c r="C90" s="50" t="s">
        <v>177</v>
      </c>
      <c r="D90" s="4">
        <f t="shared" ref="D90:I90" si="18">D91/D92*100</f>
        <v>36.334536912980262</v>
      </c>
      <c r="E90" s="4">
        <f t="shared" si="18"/>
        <v>36.553614265655391</v>
      </c>
      <c r="F90" s="4">
        <f t="shared" si="18"/>
        <v>36.765384337463246</v>
      </c>
      <c r="G90" s="4">
        <f t="shared" si="18"/>
        <v>36.880310516451758</v>
      </c>
      <c r="H90" s="4">
        <f t="shared" si="18"/>
        <v>37.014124388633334</v>
      </c>
      <c r="I90" s="4">
        <f t="shared" si="18"/>
        <v>37.139354205848605</v>
      </c>
      <c r="J90" s="4">
        <v>37.270347862590476</v>
      </c>
      <c r="K90" s="4">
        <v>37.421456369521579</v>
      </c>
      <c r="L90" s="4">
        <v>37.585244566047365</v>
      </c>
      <c r="M90" s="4">
        <v>37.755725277987082</v>
      </c>
    </row>
    <row r="91" spans="1:14" ht="38.25" x14ac:dyDescent="0.2">
      <c r="A91" s="177"/>
      <c r="B91" s="171"/>
      <c r="C91" s="22" t="s">
        <v>178</v>
      </c>
      <c r="D91" s="7">
        <v>132.28700000000001</v>
      </c>
      <c r="E91" s="7">
        <v>132.28700000000001</v>
      </c>
      <c r="F91" s="7">
        <v>132.28700000000001</v>
      </c>
      <c r="G91" s="7">
        <v>132.28700000000001</v>
      </c>
      <c r="H91" s="7">
        <v>132.28700000000001</v>
      </c>
      <c r="I91" s="7">
        <v>132.28700000000001</v>
      </c>
      <c r="J91" s="7">
        <v>132.28700000000001</v>
      </c>
      <c r="K91" s="7">
        <v>132.28700000000001</v>
      </c>
      <c r="L91" s="7">
        <v>132.28700000000001</v>
      </c>
      <c r="M91" s="7">
        <v>132.28700000000001</v>
      </c>
    </row>
    <row r="92" spans="1:14" ht="38.25" x14ac:dyDescent="0.2">
      <c r="A92" s="177"/>
      <c r="B92" s="171"/>
      <c r="C92" s="22" t="s">
        <v>179</v>
      </c>
      <c r="D92" s="4">
        <f t="shared" ref="D92:I92" si="19">D93</f>
        <v>364.0806</v>
      </c>
      <c r="E92" s="4">
        <f t="shared" si="19"/>
        <v>361.89855</v>
      </c>
      <c r="F92" s="4">
        <f t="shared" si="19"/>
        <v>359.81400000000002</v>
      </c>
      <c r="G92" s="4">
        <f t="shared" si="19"/>
        <v>358.69274999999999</v>
      </c>
      <c r="H92" s="4">
        <f t="shared" si="19"/>
        <v>357.39600000000002</v>
      </c>
      <c r="I92" s="4">
        <f t="shared" si="19"/>
        <v>356.1909</v>
      </c>
      <c r="J92" s="4">
        <v>354.93900000000002</v>
      </c>
      <c r="K92" s="4">
        <v>353.50574999999998</v>
      </c>
      <c r="L92" s="4">
        <v>351.96524999999997</v>
      </c>
      <c r="M92" s="4">
        <v>350.37599999999998</v>
      </c>
    </row>
    <row r="93" spans="1:14" ht="51" x14ac:dyDescent="0.2">
      <c r="A93" s="185"/>
      <c r="B93" s="184"/>
      <c r="C93" s="34" t="s">
        <v>180</v>
      </c>
      <c r="D93" s="4">
        <f t="shared" ref="D93:I93" si="20">D94*(D95/10000)</f>
        <v>364.0806</v>
      </c>
      <c r="E93" s="4">
        <f t="shared" si="20"/>
        <v>361.89855</v>
      </c>
      <c r="F93" s="4">
        <f t="shared" si="20"/>
        <v>359.81400000000002</v>
      </c>
      <c r="G93" s="4">
        <f t="shared" si="20"/>
        <v>358.69274999999999</v>
      </c>
      <c r="H93" s="4">
        <f t="shared" si="20"/>
        <v>357.39600000000002</v>
      </c>
      <c r="I93" s="4">
        <f t="shared" si="20"/>
        <v>356.1909</v>
      </c>
      <c r="J93" s="4">
        <v>354.93900000000002</v>
      </c>
      <c r="K93" s="4">
        <v>353.50574999999998</v>
      </c>
      <c r="L93" s="4">
        <v>351.96524999999997</v>
      </c>
      <c r="M93" s="4">
        <v>350.37599999999998</v>
      </c>
    </row>
    <row r="94" spans="1:14" ht="38.25" x14ac:dyDescent="0.2">
      <c r="A94" s="185"/>
      <c r="B94" s="184"/>
      <c r="C94" s="34" t="s">
        <v>96</v>
      </c>
      <c r="D94" s="7">
        <v>19.5</v>
      </c>
      <c r="E94" s="7">
        <v>19.5</v>
      </c>
      <c r="F94" s="7">
        <v>19.5</v>
      </c>
      <c r="G94" s="7">
        <v>19.5</v>
      </c>
      <c r="H94" s="7">
        <v>19.5</v>
      </c>
      <c r="I94" s="7">
        <v>19.5</v>
      </c>
      <c r="J94" s="7">
        <v>19.5</v>
      </c>
      <c r="K94" s="7">
        <v>19.5</v>
      </c>
      <c r="L94" s="7">
        <v>19.5</v>
      </c>
      <c r="M94" s="7">
        <v>19.5</v>
      </c>
    </row>
    <row r="95" spans="1:14" ht="25.5" x14ac:dyDescent="0.2">
      <c r="A95" s="185"/>
      <c r="B95" s="184"/>
      <c r="C95" s="34" t="s">
        <v>214</v>
      </c>
      <c r="D95" s="8">
        <v>186708</v>
      </c>
      <c r="E95" s="8">
        <v>185589</v>
      </c>
      <c r="F95" s="8">
        <v>184520</v>
      </c>
      <c r="G95" s="8">
        <f>G18</f>
        <v>183945</v>
      </c>
      <c r="H95" s="8">
        <f>H18</f>
        <v>183280</v>
      </c>
      <c r="I95" s="8">
        <f>I18</f>
        <v>182662</v>
      </c>
      <c r="J95" s="8">
        <v>182020</v>
      </c>
      <c r="K95" s="8">
        <v>181285</v>
      </c>
      <c r="L95" s="8">
        <v>180495</v>
      </c>
      <c r="M95" s="8">
        <v>179680</v>
      </c>
    </row>
    <row r="96" spans="1:14" ht="15.75" x14ac:dyDescent="0.25">
      <c r="A96" s="181" t="s">
        <v>64</v>
      </c>
      <c r="B96" s="181"/>
      <c r="C96" s="181"/>
      <c r="D96" s="181"/>
      <c r="E96" s="181"/>
      <c r="F96" s="181"/>
      <c r="G96" s="181"/>
      <c r="H96" s="181"/>
      <c r="I96" s="181"/>
      <c r="J96" s="181"/>
      <c r="K96" s="58"/>
      <c r="L96" s="52"/>
      <c r="M96" s="52"/>
    </row>
    <row r="97" spans="1:14" ht="63.75" x14ac:dyDescent="0.2">
      <c r="A97" s="177" t="s">
        <v>169</v>
      </c>
      <c r="B97" s="171" t="s">
        <v>261</v>
      </c>
      <c r="C97" s="49" t="s">
        <v>170</v>
      </c>
      <c r="D97" s="6">
        <f t="shared" ref="D97:I97" si="21">D98/D99*100</f>
        <v>24.056603773584907</v>
      </c>
      <c r="E97" s="6">
        <f t="shared" si="21"/>
        <v>22.169811320754718</v>
      </c>
      <c r="F97" s="6">
        <f t="shared" si="21"/>
        <v>4.716981132075472</v>
      </c>
      <c r="G97" s="6">
        <f t="shared" si="21"/>
        <v>4.8543689320388346</v>
      </c>
      <c r="H97" s="6">
        <f t="shared" si="21"/>
        <v>4.3689320388349513</v>
      </c>
      <c r="I97" s="6">
        <f t="shared" si="21"/>
        <v>3.8834951456310676</v>
      </c>
      <c r="J97" s="6">
        <v>3.3980582524271843</v>
      </c>
      <c r="K97" s="6">
        <v>2.912621359223301</v>
      </c>
      <c r="L97" s="6">
        <v>2.4271844660194173</v>
      </c>
      <c r="M97" s="6">
        <v>1.9417475728155338</v>
      </c>
    </row>
    <row r="98" spans="1:14" ht="38.25" x14ac:dyDescent="0.2">
      <c r="A98" s="177"/>
      <c r="B98" s="171"/>
      <c r="C98" s="22" t="s">
        <v>379</v>
      </c>
      <c r="D98" s="7" t="s">
        <v>171</v>
      </c>
      <c r="E98" s="7">
        <f>D98-4</f>
        <v>47</v>
      </c>
      <c r="F98" s="7">
        <f>E98-35-2</f>
        <v>10</v>
      </c>
      <c r="G98" s="7">
        <f>F98</f>
        <v>10</v>
      </c>
      <c r="H98" s="7">
        <v>9</v>
      </c>
      <c r="I98" s="7">
        <v>8</v>
      </c>
      <c r="J98" s="7">
        <v>7</v>
      </c>
      <c r="K98" s="7">
        <v>6</v>
      </c>
      <c r="L98" s="7">
        <v>5</v>
      </c>
      <c r="M98" s="7">
        <v>4</v>
      </c>
    </row>
    <row r="99" spans="1:14" ht="25.5" x14ac:dyDescent="0.2">
      <c r="A99" s="177"/>
      <c r="B99" s="171"/>
      <c r="C99" s="35" t="s">
        <v>380</v>
      </c>
      <c r="D99" s="7" t="s">
        <v>172</v>
      </c>
      <c r="E99" s="7" t="s">
        <v>172</v>
      </c>
      <c r="F99" s="7" t="s">
        <v>172</v>
      </c>
      <c r="G99" s="7">
        <v>206</v>
      </c>
      <c r="H99" s="7">
        <v>206</v>
      </c>
      <c r="I99" s="7">
        <v>206</v>
      </c>
      <c r="J99" s="7">
        <v>206</v>
      </c>
      <c r="K99" s="7">
        <v>206</v>
      </c>
      <c r="L99" s="7">
        <v>206</v>
      </c>
      <c r="M99" s="7">
        <v>206</v>
      </c>
    </row>
    <row r="100" spans="1:14" ht="51" x14ac:dyDescent="0.2">
      <c r="A100" s="179" t="s">
        <v>353</v>
      </c>
      <c r="B100" s="171" t="s">
        <v>261</v>
      </c>
      <c r="C100" s="22" t="s">
        <v>212</v>
      </c>
      <c r="D100" s="6">
        <f t="shared" ref="D100:I100" si="22">D101/D102*100</f>
        <v>0</v>
      </c>
      <c r="E100" s="6">
        <f t="shared" si="22"/>
        <v>16.666666666666664</v>
      </c>
      <c r="F100" s="6">
        <f t="shared" si="22"/>
        <v>100</v>
      </c>
      <c r="G100" s="6">
        <f t="shared" si="22"/>
        <v>100</v>
      </c>
      <c r="H100" s="6">
        <f t="shared" si="22"/>
        <v>100</v>
      </c>
      <c r="I100" s="6">
        <f t="shared" si="22"/>
        <v>100</v>
      </c>
      <c r="J100" s="6">
        <v>100</v>
      </c>
      <c r="K100" s="6">
        <v>100</v>
      </c>
      <c r="L100" s="6">
        <v>100</v>
      </c>
      <c r="M100" s="6">
        <v>100</v>
      </c>
    </row>
    <row r="101" spans="1:14" ht="25.5" x14ac:dyDescent="0.2">
      <c r="A101" s="179"/>
      <c r="B101" s="171"/>
      <c r="C101" s="22" t="s">
        <v>161</v>
      </c>
      <c r="D101" s="36">
        <v>0</v>
      </c>
      <c r="E101" s="36">
        <v>2</v>
      </c>
      <c r="F101" s="36">
        <v>1</v>
      </c>
      <c r="G101" s="36">
        <v>1</v>
      </c>
      <c r="H101" s="36">
        <v>1</v>
      </c>
      <c r="I101" s="36">
        <v>1</v>
      </c>
      <c r="J101" s="36">
        <v>1</v>
      </c>
      <c r="K101" s="36">
        <v>1</v>
      </c>
      <c r="L101" s="36">
        <v>1</v>
      </c>
      <c r="M101" s="36">
        <v>1</v>
      </c>
      <c r="N101" s="182" t="s">
        <v>207</v>
      </c>
    </row>
    <row r="102" spans="1:14" ht="25.5" x14ac:dyDescent="0.2">
      <c r="A102" s="178"/>
      <c r="B102" s="171"/>
      <c r="C102" s="22" t="s">
        <v>159</v>
      </c>
      <c r="D102" s="36" t="s">
        <v>160</v>
      </c>
      <c r="E102" s="36" t="s">
        <v>160</v>
      </c>
      <c r="F102" s="36">
        <v>1</v>
      </c>
      <c r="G102" s="36">
        <v>1</v>
      </c>
      <c r="H102" s="36">
        <v>1</v>
      </c>
      <c r="I102" s="36">
        <v>1</v>
      </c>
      <c r="J102" s="36">
        <v>1</v>
      </c>
      <c r="K102" s="36">
        <v>1</v>
      </c>
      <c r="L102" s="36">
        <v>1</v>
      </c>
      <c r="M102" s="36">
        <v>1</v>
      </c>
      <c r="N102" s="182"/>
    </row>
    <row r="103" spans="1:14" ht="38.25" x14ac:dyDescent="0.2">
      <c r="A103" s="177" t="s">
        <v>410</v>
      </c>
      <c r="B103" s="183" t="s">
        <v>162</v>
      </c>
      <c r="C103" s="50" t="s">
        <v>354</v>
      </c>
      <c r="D103" s="4">
        <f t="shared" ref="D103:I103" si="23">D104/D105</f>
        <v>0.16244617263320266</v>
      </c>
      <c r="E103" s="4">
        <f t="shared" si="23"/>
        <v>0.19954307636767266</v>
      </c>
      <c r="F103" s="4">
        <f t="shared" si="23"/>
        <v>0.24294331237806199</v>
      </c>
      <c r="G103" s="4">
        <f t="shared" si="23"/>
        <v>0.31864415993911221</v>
      </c>
      <c r="H103" s="4">
        <f t="shared" si="23"/>
        <v>0.37443529026625927</v>
      </c>
      <c r="I103" s="4">
        <f t="shared" si="23"/>
        <v>0.39978977565120272</v>
      </c>
      <c r="J103" s="4">
        <v>0.49393857817822218</v>
      </c>
      <c r="K103" s="4">
        <v>0.36321537909920842</v>
      </c>
      <c r="L103" s="4">
        <v>0.31379262583451067</v>
      </c>
      <c r="M103" s="4">
        <v>0.33781166518254674</v>
      </c>
    </row>
    <row r="104" spans="1:14" ht="25.5" x14ac:dyDescent="0.2">
      <c r="A104" s="177"/>
      <c r="B104" s="183"/>
      <c r="C104" s="50" t="s">
        <v>355</v>
      </c>
      <c r="D104" s="3">
        <f t="shared" ref="D104:I104" si="24">D15</f>
        <v>30330</v>
      </c>
      <c r="E104" s="3">
        <f t="shared" si="24"/>
        <v>37033</v>
      </c>
      <c r="F104" s="3">
        <f t="shared" si="24"/>
        <v>44827.9</v>
      </c>
      <c r="G104" s="3">
        <f t="shared" si="24"/>
        <v>58613</v>
      </c>
      <c r="H104" s="3">
        <f t="shared" si="24"/>
        <v>68626.5</v>
      </c>
      <c r="I104" s="3">
        <f t="shared" si="24"/>
        <v>73026.399999999994</v>
      </c>
      <c r="J104" s="3">
        <v>89906.7</v>
      </c>
      <c r="K104" s="3">
        <v>65845.5</v>
      </c>
      <c r="L104" s="3">
        <v>56638</v>
      </c>
      <c r="M104" s="3">
        <v>60698</v>
      </c>
    </row>
    <row r="105" spans="1:14" x14ac:dyDescent="0.2">
      <c r="A105" s="177"/>
      <c r="B105" s="183"/>
      <c r="C105" s="50" t="s">
        <v>154</v>
      </c>
      <c r="D105" s="8">
        <v>186708</v>
      </c>
      <c r="E105" s="8">
        <v>185589</v>
      </c>
      <c r="F105" s="8">
        <v>184520</v>
      </c>
      <c r="G105" s="8">
        <f>G18</f>
        <v>183945</v>
      </c>
      <c r="H105" s="8">
        <f>H18</f>
        <v>183280</v>
      </c>
      <c r="I105" s="8">
        <f>I18</f>
        <v>182662</v>
      </c>
      <c r="J105" s="8">
        <v>182020</v>
      </c>
      <c r="K105" s="8">
        <v>181285</v>
      </c>
      <c r="L105" s="8">
        <v>180495</v>
      </c>
      <c r="M105" s="8">
        <v>179680</v>
      </c>
    </row>
    <row r="106" spans="1:14" ht="51" x14ac:dyDescent="0.2">
      <c r="A106" s="177" t="s">
        <v>365</v>
      </c>
      <c r="B106" s="171" t="s">
        <v>217</v>
      </c>
      <c r="C106" s="49" t="s">
        <v>61</v>
      </c>
      <c r="D106" s="10">
        <f t="shared" ref="D106:I106" si="25">D107/D108*10000</f>
        <v>1.2586498703858431</v>
      </c>
      <c r="E106" s="10">
        <f t="shared" si="25"/>
        <v>1.0776500762437429</v>
      </c>
      <c r="F106" s="10">
        <f t="shared" si="25"/>
        <v>2.4929546932581834</v>
      </c>
      <c r="G106" s="10">
        <f t="shared" si="25"/>
        <v>0.97855337193182745</v>
      </c>
      <c r="H106" s="10">
        <f t="shared" si="25"/>
        <v>1.0912265386294195</v>
      </c>
      <c r="I106" s="10">
        <f t="shared" si="25"/>
        <v>1.2591562558167546</v>
      </c>
      <c r="J106" s="10">
        <v>1.1103175475222504</v>
      </c>
      <c r="K106" s="10">
        <v>1.1032352373334804</v>
      </c>
      <c r="L106" s="10">
        <v>1.1080639352890662</v>
      </c>
      <c r="M106" s="10">
        <v>1.1130899376669634</v>
      </c>
    </row>
    <row r="107" spans="1:14" ht="25.5" x14ac:dyDescent="0.2">
      <c r="A107" s="177"/>
      <c r="B107" s="171"/>
      <c r="C107" s="50" t="s">
        <v>174</v>
      </c>
      <c r="D107" s="7">
        <v>23.5</v>
      </c>
      <c r="E107" s="7">
        <v>20</v>
      </c>
      <c r="F107" s="7">
        <v>46</v>
      </c>
      <c r="G107" s="7">
        <v>18</v>
      </c>
      <c r="H107" s="7">
        <v>20</v>
      </c>
      <c r="I107" s="7">
        <v>23</v>
      </c>
      <c r="J107" s="7">
        <v>20.21</v>
      </c>
      <c r="K107" s="7">
        <v>20</v>
      </c>
      <c r="L107" s="7">
        <v>20</v>
      </c>
      <c r="M107" s="7">
        <v>20</v>
      </c>
    </row>
    <row r="108" spans="1:14" x14ac:dyDescent="0.2">
      <c r="A108" s="177"/>
      <c r="B108" s="171"/>
      <c r="C108" s="50" t="s">
        <v>154</v>
      </c>
      <c r="D108" s="8">
        <v>186708</v>
      </c>
      <c r="E108" s="8">
        <v>185589</v>
      </c>
      <c r="F108" s="8">
        <v>184520</v>
      </c>
      <c r="G108" s="8">
        <f>G18</f>
        <v>183945</v>
      </c>
      <c r="H108" s="8">
        <f>H18</f>
        <v>183280</v>
      </c>
      <c r="I108" s="8">
        <f>I18</f>
        <v>182662</v>
      </c>
      <c r="J108" s="8">
        <v>182020</v>
      </c>
      <c r="K108" s="8">
        <v>181285</v>
      </c>
      <c r="L108" s="8">
        <v>180495</v>
      </c>
      <c r="M108" s="8">
        <v>179680</v>
      </c>
    </row>
    <row r="109" spans="1:14" ht="51" x14ac:dyDescent="0.2">
      <c r="A109" s="177" t="s">
        <v>454</v>
      </c>
      <c r="B109" s="183" t="s">
        <v>162</v>
      </c>
      <c r="C109" s="50" t="s">
        <v>457</v>
      </c>
      <c r="D109" s="4" t="s">
        <v>404</v>
      </c>
      <c r="E109" s="4" t="s">
        <v>404</v>
      </c>
      <c r="F109" s="4" t="s">
        <v>404</v>
      </c>
      <c r="G109" s="4" t="s">
        <v>404</v>
      </c>
      <c r="H109" s="4" t="s">
        <v>404</v>
      </c>
      <c r="I109" s="4">
        <f>I110/I111*100</f>
        <v>0.25485526990835183</v>
      </c>
      <c r="J109" s="4">
        <v>0.22394021760207788</v>
      </c>
      <c r="K109" s="4">
        <v>0.22161327818117552</v>
      </c>
      <c r="L109" s="4">
        <v>0.22161327818117552</v>
      </c>
      <c r="M109" s="4">
        <v>0.22161327818117552</v>
      </c>
    </row>
    <row r="110" spans="1:14" ht="25.5" x14ac:dyDescent="0.2">
      <c r="A110" s="177"/>
      <c r="B110" s="183"/>
      <c r="C110" s="50" t="s">
        <v>174</v>
      </c>
      <c r="D110" s="4" t="s">
        <v>404</v>
      </c>
      <c r="E110" s="4" t="s">
        <v>404</v>
      </c>
      <c r="F110" s="4" t="s">
        <v>404</v>
      </c>
      <c r="G110" s="4" t="s">
        <v>404</v>
      </c>
      <c r="H110" s="4" t="s">
        <v>404</v>
      </c>
      <c r="I110" s="7">
        <f>I107</f>
        <v>23</v>
      </c>
      <c r="J110" s="7">
        <v>20.21</v>
      </c>
      <c r="K110" s="7">
        <v>20</v>
      </c>
      <c r="L110" s="7">
        <v>20</v>
      </c>
      <c r="M110" s="7">
        <v>20</v>
      </c>
    </row>
    <row r="111" spans="1:14" x14ac:dyDescent="0.2">
      <c r="A111" s="177"/>
      <c r="B111" s="183"/>
      <c r="C111" s="26" t="s">
        <v>456</v>
      </c>
      <c r="D111" s="4" t="s">
        <v>404</v>
      </c>
      <c r="E111" s="4" t="s">
        <v>404</v>
      </c>
      <c r="F111" s="4" t="s">
        <v>404</v>
      </c>
      <c r="G111" s="4" t="s">
        <v>404</v>
      </c>
      <c r="H111" s="4" t="s">
        <v>404</v>
      </c>
      <c r="I111" s="7">
        <v>9024.73</v>
      </c>
      <c r="J111" s="7">
        <v>9024.73</v>
      </c>
      <c r="K111" s="7">
        <v>9024.73</v>
      </c>
      <c r="L111" s="7">
        <v>9024.73</v>
      </c>
      <c r="M111" s="7">
        <v>9024.73</v>
      </c>
    </row>
    <row r="112" spans="1:14" ht="63.75" x14ac:dyDescent="0.2">
      <c r="A112" s="177" t="s">
        <v>455</v>
      </c>
      <c r="B112" s="171" t="s">
        <v>261</v>
      </c>
      <c r="C112" s="49" t="s">
        <v>460</v>
      </c>
      <c r="D112" s="4" t="s">
        <v>404</v>
      </c>
      <c r="E112" s="4" t="s">
        <v>404</v>
      </c>
      <c r="F112" s="4" t="s">
        <v>404</v>
      </c>
      <c r="G112" s="4" t="s">
        <v>404</v>
      </c>
      <c r="H112" s="4" t="s">
        <v>404</v>
      </c>
      <c r="I112" s="27">
        <f>I113/I114*100</f>
        <v>100</v>
      </c>
      <c r="J112" s="27">
        <v>100</v>
      </c>
      <c r="K112" s="27">
        <v>100</v>
      </c>
      <c r="L112" s="27">
        <v>100</v>
      </c>
      <c r="M112" s="27">
        <v>100</v>
      </c>
    </row>
    <row r="113" spans="1:13" ht="51" x14ac:dyDescent="0.2">
      <c r="A113" s="177"/>
      <c r="B113" s="171"/>
      <c r="C113" s="26" t="s">
        <v>459</v>
      </c>
      <c r="D113" s="4" t="s">
        <v>404</v>
      </c>
      <c r="E113" s="4" t="s">
        <v>404</v>
      </c>
      <c r="F113" s="4" t="s">
        <v>404</v>
      </c>
      <c r="G113" s="4" t="s">
        <v>404</v>
      </c>
      <c r="H113" s="4" t="s">
        <v>404</v>
      </c>
      <c r="I113" s="7">
        <v>1507</v>
      </c>
      <c r="J113" s="7">
        <v>1511</v>
      </c>
      <c r="K113" s="7">
        <v>1509</v>
      </c>
      <c r="L113" s="7">
        <v>1507</v>
      </c>
      <c r="M113" s="7">
        <v>1505</v>
      </c>
    </row>
    <row r="114" spans="1:13" x14ac:dyDescent="0.2">
      <c r="A114" s="177"/>
      <c r="B114" s="171"/>
      <c r="C114" s="26" t="s">
        <v>458</v>
      </c>
      <c r="D114" s="4" t="s">
        <v>404</v>
      </c>
      <c r="E114" s="4" t="s">
        <v>404</v>
      </c>
      <c r="F114" s="4" t="s">
        <v>404</v>
      </c>
      <c r="G114" s="4" t="s">
        <v>404</v>
      </c>
      <c r="H114" s="4" t="s">
        <v>404</v>
      </c>
      <c r="I114" s="8">
        <v>1507</v>
      </c>
      <c r="J114" s="8">
        <v>1511</v>
      </c>
      <c r="K114" s="8">
        <v>1509</v>
      </c>
      <c r="L114" s="8">
        <v>1507</v>
      </c>
      <c r="M114" s="8">
        <v>1505</v>
      </c>
    </row>
    <row r="115" spans="1:13" ht="15.75" x14ac:dyDescent="0.25">
      <c r="A115" s="181" t="s">
        <v>53</v>
      </c>
      <c r="B115" s="181"/>
      <c r="C115" s="181"/>
      <c r="D115" s="181"/>
      <c r="E115" s="181"/>
      <c r="F115" s="181"/>
      <c r="G115" s="181"/>
      <c r="H115" s="181"/>
      <c r="I115" s="181"/>
      <c r="J115" s="181"/>
      <c r="K115" s="58"/>
      <c r="L115" s="52"/>
      <c r="M115" s="52"/>
    </row>
    <row r="116" spans="1:13" ht="140.25" x14ac:dyDescent="0.2">
      <c r="A116" s="177" t="s">
        <v>237</v>
      </c>
      <c r="B116" s="171" t="s">
        <v>261</v>
      </c>
      <c r="C116" s="49" t="s">
        <v>235</v>
      </c>
      <c r="D116" s="6">
        <f t="shared" ref="D116:I116" si="26">D117/D118*100</f>
        <v>69.570724078679774</v>
      </c>
      <c r="E116" s="6">
        <f t="shared" si="26"/>
        <v>65.714261729159702</v>
      </c>
      <c r="F116" s="6">
        <f t="shared" si="26"/>
        <v>47.680118143459914</v>
      </c>
      <c r="G116" s="6">
        <f t="shared" si="26"/>
        <v>43.040034099675509</v>
      </c>
      <c r="H116" s="6">
        <f t="shared" si="26"/>
        <v>42.920725682893192</v>
      </c>
      <c r="I116" s="6">
        <f t="shared" si="26"/>
        <v>44.271609215393489</v>
      </c>
      <c r="J116" s="6">
        <v>44.271609215393489</v>
      </c>
      <c r="K116" s="6">
        <v>44.271609215393489</v>
      </c>
      <c r="L116" s="6">
        <v>59.511199999999995</v>
      </c>
      <c r="M116" s="6">
        <v>59.511199999999995</v>
      </c>
    </row>
    <row r="117" spans="1:13" ht="89.25" x14ac:dyDescent="0.2">
      <c r="A117" s="177"/>
      <c r="B117" s="171"/>
      <c r="C117" s="50" t="s">
        <v>236</v>
      </c>
      <c r="D117" s="13">
        <v>42350.9</v>
      </c>
      <c r="E117" s="13">
        <v>70451.8</v>
      </c>
      <c r="F117" s="13">
        <v>33900.563999999998</v>
      </c>
      <c r="G117" s="13">
        <v>28676.799999999999</v>
      </c>
      <c r="H117" s="13">
        <f>прил_4!M314</f>
        <v>35969.800000000003</v>
      </c>
      <c r="I117" s="13">
        <v>10436.41207</v>
      </c>
      <c r="J117" s="13">
        <v>10436.41207</v>
      </c>
      <c r="K117" s="13">
        <v>10436.41207</v>
      </c>
      <c r="L117" s="13">
        <v>29755.599999999999</v>
      </c>
      <c r="M117" s="13">
        <v>29755.599999999999</v>
      </c>
    </row>
    <row r="118" spans="1:13" ht="51" x14ac:dyDescent="0.2">
      <c r="A118" s="177"/>
      <c r="B118" s="171"/>
      <c r="C118" s="50" t="s">
        <v>234</v>
      </c>
      <c r="D118" s="13">
        <v>60874.6</v>
      </c>
      <c r="E118" s="13">
        <v>107209.3</v>
      </c>
      <c r="F118" s="13">
        <v>71100</v>
      </c>
      <c r="G118" s="13">
        <v>66628.2</v>
      </c>
      <c r="H118" s="13">
        <v>83805.2</v>
      </c>
      <c r="I118" s="13">
        <v>23573.599999999999</v>
      </c>
      <c r="J118" s="13">
        <v>23573.599999999999</v>
      </c>
      <c r="K118" s="13">
        <v>23573.599999999999</v>
      </c>
      <c r="L118" s="13">
        <v>50000</v>
      </c>
      <c r="M118" s="13">
        <v>50000</v>
      </c>
    </row>
    <row r="119" spans="1:13" ht="89.25" x14ac:dyDescent="0.2">
      <c r="A119" s="177" t="s">
        <v>462</v>
      </c>
      <c r="B119" s="171" t="s">
        <v>261</v>
      </c>
      <c r="C119" s="49" t="s">
        <v>182</v>
      </c>
      <c r="D119" s="14">
        <f t="shared" ref="D119:I119" si="27">D120/D121*100</f>
        <v>76.416866987179489</v>
      </c>
      <c r="E119" s="14">
        <f t="shared" si="27"/>
        <v>66.529361817914591</v>
      </c>
      <c r="F119" s="14">
        <f t="shared" si="27"/>
        <v>67.500691791114392</v>
      </c>
      <c r="G119" s="14">
        <f t="shared" si="27"/>
        <v>43.22190476190476</v>
      </c>
      <c r="H119" s="14">
        <f t="shared" si="27"/>
        <v>43.135899450117833</v>
      </c>
      <c r="I119" s="14">
        <f t="shared" si="27"/>
        <v>43.899547803617565</v>
      </c>
      <c r="J119" s="14">
        <v>43.556628989018087</v>
      </c>
      <c r="K119" s="14">
        <v>43.556628989018087</v>
      </c>
      <c r="L119" s="14">
        <v>36.397199999999998</v>
      </c>
      <c r="M119" s="14">
        <v>36.397199999999998</v>
      </c>
    </row>
    <row r="120" spans="1:13" ht="38.25" x14ac:dyDescent="0.2">
      <c r="A120" s="177"/>
      <c r="B120" s="171"/>
      <c r="C120" s="50" t="s">
        <v>185</v>
      </c>
      <c r="D120" s="13">
        <v>38147.300000000003</v>
      </c>
      <c r="E120" s="13">
        <v>54768.9</v>
      </c>
      <c r="F120" s="3">
        <v>64032.81</v>
      </c>
      <c r="G120" s="3">
        <v>27229.8</v>
      </c>
      <c r="H120" s="3">
        <f>прил_4!M315</f>
        <v>21964.799999999999</v>
      </c>
      <c r="I120" s="3">
        <v>27182.6</v>
      </c>
      <c r="J120" s="3">
        <v>26970.26467</v>
      </c>
      <c r="K120" s="3">
        <v>26970.26467</v>
      </c>
      <c r="L120" s="3">
        <v>18198.599999999999</v>
      </c>
      <c r="M120" s="3">
        <v>18198.599999999999</v>
      </c>
    </row>
    <row r="121" spans="1:13" ht="38.25" x14ac:dyDescent="0.2">
      <c r="A121" s="177"/>
      <c r="B121" s="171"/>
      <c r="C121" s="22" t="s">
        <v>184</v>
      </c>
      <c r="D121" s="13">
        <v>49920</v>
      </c>
      <c r="E121" s="13">
        <v>82322.899999999994</v>
      </c>
      <c r="F121" s="13">
        <v>94862.45</v>
      </c>
      <c r="G121" s="13">
        <v>63000</v>
      </c>
      <c r="H121" s="13">
        <v>50920</v>
      </c>
      <c r="I121" s="13">
        <v>61920</v>
      </c>
      <c r="J121" s="13">
        <v>61920</v>
      </c>
      <c r="K121" s="13">
        <v>61920</v>
      </c>
      <c r="L121" s="13">
        <v>50000</v>
      </c>
      <c r="M121" s="13">
        <v>50000</v>
      </c>
    </row>
    <row r="122" spans="1:13" ht="15.75" x14ac:dyDescent="0.2">
      <c r="A122" s="180" t="s">
        <v>54</v>
      </c>
      <c r="B122" s="180"/>
      <c r="C122" s="180"/>
      <c r="D122" s="180"/>
      <c r="E122" s="180"/>
      <c r="F122" s="180"/>
      <c r="G122" s="180"/>
      <c r="H122" s="180"/>
      <c r="I122" s="180"/>
      <c r="J122" s="180"/>
      <c r="K122" s="56"/>
      <c r="L122" s="51"/>
      <c r="M122" s="51"/>
    </row>
    <row r="123" spans="1:13" ht="38.25" x14ac:dyDescent="0.2">
      <c r="A123" s="177" t="s">
        <v>186</v>
      </c>
      <c r="B123" s="171" t="s">
        <v>261</v>
      </c>
      <c r="C123" s="37" t="s">
        <v>187</v>
      </c>
      <c r="D123" s="6">
        <f t="shared" ref="D123:I123" si="28">D124/D125*100</f>
        <v>3.552606208625233</v>
      </c>
      <c r="E123" s="6">
        <f t="shared" si="28"/>
        <v>3.2167854775875728</v>
      </c>
      <c r="F123" s="6">
        <f t="shared" si="28"/>
        <v>0</v>
      </c>
      <c r="G123" s="6">
        <f t="shared" si="28"/>
        <v>0</v>
      </c>
      <c r="H123" s="6">
        <f t="shared" si="28"/>
        <v>0</v>
      </c>
      <c r="I123" s="6">
        <f t="shared" si="28"/>
        <v>0</v>
      </c>
      <c r="J123" s="6">
        <v>0</v>
      </c>
      <c r="K123" s="6">
        <v>0</v>
      </c>
      <c r="L123" s="6">
        <v>0</v>
      </c>
      <c r="M123" s="6">
        <v>0</v>
      </c>
    </row>
    <row r="124" spans="1:13" ht="25.5" x14ac:dyDescent="0.2">
      <c r="A124" s="177"/>
      <c r="B124" s="171"/>
      <c r="C124" s="50" t="s">
        <v>189</v>
      </c>
      <c r="D124" s="8">
        <v>6633</v>
      </c>
      <c r="E124" s="8">
        <v>5970</v>
      </c>
      <c r="F124" s="8"/>
      <c r="G124" s="8"/>
      <c r="H124" s="8"/>
      <c r="I124" s="8"/>
      <c r="J124" s="8"/>
      <c r="K124" s="8"/>
      <c r="L124" s="8"/>
      <c r="M124" s="8"/>
    </row>
    <row r="125" spans="1:13" x14ac:dyDescent="0.2">
      <c r="A125" s="177"/>
      <c r="B125" s="171"/>
      <c r="C125" s="50" t="s">
        <v>154</v>
      </c>
      <c r="D125" s="8">
        <v>186708</v>
      </c>
      <c r="E125" s="8">
        <v>185589</v>
      </c>
      <c r="F125" s="8">
        <v>184520</v>
      </c>
      <c r="G125" s="8">
        <f>G18</f>
        <v>183945</v>
      </c>
      <c r="H125" s="8">
        <f>H18</f>
        <v>183280</v>
      </c>
      <c r="I125" s="8">
        <f>I18</f>
        <v>182662</v>
      </c>
      <c r="J125" s="8">
        <v>182020</v>
      </c>
      <c r="K125" s="8">
        <v>181285</v>
      </c>
      <c r="L125" s="8">
        <v>180495</v>
      </c>
      <c r="M125" s="8">
        <v>179680</v>
      </c>
    </row>
    <row r="126" spans="1:13" ht="63.75" x14ac:dyDescent="0.2">
      <c r="A126" s="177" t="s">
        <v>294</v>
      </c>
      <c r="B126" s="171" t="s">
        <v>261</v>
      </c>
      <c r="C126" s="50" t="s">
        <v>293</v>
      </c>
      <c r="D126" s="6">
        <f t="shared" ref="D126:I126" si="29">D127/D128*100</f>
        <v>4.6692607003891053</v>
      </c>
      <c r="E126" s="6">
        <f t="shared" si="29"/>
        <v>3.2727272727272729</v>
      </c>
      <c r="F126" s="6">
        <f t="shared" si="29"/>
        <v>1.4545454545454546</v>
      </c>
      <c r="G126" s="6">
        <f t="shared" si="29"/>
        <v>1.7793594306049825</v>
      </c>
      <c r="H126" s="6">
        <f t="shared" si="29"/>
        <v>3.8910505836575875</v>
      </c>
      <c r="I126" s="6">
        <f t="shared" si="29"/>
        <v>2.7131782945736433</v>
      </c>
      <c r="J126" s="6">
        <v>2.6923076923076925</v>
      </c>
      <c r="K126" s="6">
        <v>2.6415094339622645</v>
      </c>
      <c r="L126" s="6">
        <v>2.5454545454545454</v>
      </c>
      <c r="M126" s="6">
        <v>2.5454545454545454</v>
      </c>
    </row>
    <row r="127" spans="1:13" ht="25.5" x14ac:dyDescent="0.2">
      <c r="A127" s="177"/>
      <c r="B127" s="171"/>
      <c r="C127" s="22" t="s">
        <v>190</v>
      </c>
      <c r="D127" s="7">
        <v>12</v>
      </c>
      <c r="E127" s="3">
        <v>9</v>
      </c>
      <c r="F127" s="3">
        <v>4</v>
      </c>
      <c r="G127" s="3">
        <v>5</v>
      </c>
      <c r="H127" s="3">
        <v>10</v>
      </c>
      <c r="I127" s="3">
        <v>7</v>
      </c>
      <c r="J127" s="3">
        <v>7</v>
      </c>
      <c r="K127" s="3">
        <v>7</v>
      </c>
      <c r="L127" s="3">
        <v>7</v>
      </c>
      <c r="M127" s="3">
        <v>7</v>
      </c>
    </row>
    <row r="128" spans="1:13" ht="38.25" x14ac:dyDescent="0.2">
      <c r="A128" s="177"/>
      <c r="B128" s="171"/>
      <c r="C128" s="22" t="s">
        <v>292</v>
      </c>
      <c r="D128" s="7">
        <v>257</v>
      </c>
      <c r="E128" s="7">
        <v>275</v>
      </c>
      <c r="F128" s="7">
        <v>275</v>
      </c>
      <c r="G128" s="7">
        <v>281</v>
      </c>
      <c r="H128" s="7">
        <v>257</v>
      </c>
      <c r="I128" s="7">
        <v>258</v>
      </c>
      <c r="J128" s="7">
        <v>260</v>
      </c>
      <c r="K128" s="7">
        <v>265</v>
      </c>
      <c r="L128" s="7">
        <v>275</v>
      </c>
      <c r="M128" s="7">
        <v>275</v>
      </c>
    </row>
    <row r="129" spans="1:13" ht="144" customHeight="1" x14ac:dyDescent="0.2">
      <c r="A129" s="177" t="s">
        <v>388</v>
      </c>
      <c r="B129" s="171" t="s">
        <v>261</v>
      </c>
      <c r="C129" s="37" t="s">
        <v>389</v>
      </c>
      <c r="D129" s="6" t="s">
        <v>404</v>
      </c>
      <c r="E129" s="6" t="s">
        <v>404</v>
      </c>
      <c r="F129" s="6">
        <f>F130/F131*100</f>
        <v>15.384615384615385</v>
      </c>
      <c r="G129" s="6">
        <f>G130/G131*100</f>
        <v>4.5454545454545459</v>
      </c>
      <c r="H129" s="6">
        <f>H130/H131*100</f>
        <v>48</v>
      </c>
      <c r="I129" s="6">
        <f>I130/I131*100</f>
        <v>47.445255474452551</v>
      </c>
      <c r="J129" s="6">
        <v>77.777777777777786</v>
      </c>
      <c r="K129" s="6">
        <v>78.571428571428569</v>
      </c>
      <c r="L129" s="6">
        <v>4.5454545454545459</v>
      </c>
      <c r="M129" s="6">
        <v>4.5454545454545459</v>
      </c>
    </row>
    <row r="130" spans="1:13" ht="69" customHeight="1" x14ac:dyDescent="0.2">
      <c r="A130" s="177"/>
      <c r="B130" s="171"/>
      <c r="C130" s="26" t="s">
        <v>391</v>
      </c>
      <c r="D130" s="8" t="s">
        <v>404</v>
      </c>
      <c r="E130" s="8" t="s">
        <v>404</v>
      </c>
      <c r="F130" s="3">
        <v>2</v>
      </c>
      <c r="G130" s="3">
        <v>1</v>
      </c>
      <c r="H130" s="3">
        <v>84</v>
      </c>
      <c r="I130" s="3">
        <v>65</v>
      </c>
      <c r="J130" s="3">
        <v>49</v>
      </c>
      <c r="K130" s="3">
        <v>11</v>
      </c>
      <c r="L130" s="3">
        <v>1</v>
      </c>
      <c r="M130" s="3">
        <v>1</v>
      </c>
    </row>
    <row r="131" spans="1:13" ht="78.75" customHeight="1" x14ac:dyDescent="0.2">
      <c r="A131" s="177"/>
      <c r="B131" s="171"/>
      <c r="C131" s="26" t="s">
        <v>392</v>
      </c>
      <c r="D131" s="8" t="s">
        <v>404</v>
      </c>
      <c r="E131" s="8" t="s">
        <v>404</v>
      </c>
      <c r="F131" s="8">
        <v>13</v>
      </c>
      <c r="G131" s="8">
        <v>22</v>
      </c>
      <c r="H131" s="8">
        <v>175</v>
      </c>
      <c r="I131" s="8">
        <v>137</v>
      </c>
      <c r="J131" s="8">
        <v>63</v>
      </c>
      <c r="K131" s="8">
        <v>14</v>
      </c>
      <c r="L131" s="8">
        <v>22</v>
      </c>
      <c r="M131" s="8">
        <v>22</v>
      </c>
    </row>
    <row r="132" spans="1:13" ht="76.5" x14ac:dyDescent="0.2">
      <c r="A132" s="177" t="s">
        <v>334</v>
      </c>
      <c r="B132" s="171" t="s">
        <v>261</v>
      </c>
      <c r="C132" s="50" t="s">
        <v>298</v>
      </c>
      <c r="D132" s="6">
        <f t="shared" ref="D132:I132" si="30">D133/D134*100</f>
        <v>0.27613412228796846</v>
      </c>
      <c r="E132" s="10">
        <f t="shared" si="30"/>
        <v>8.0479011073911921E-2</v>
      </c>
      <c r="F132" s="10">
        <f t="shared" si="30"/>
        <v>1.6097875080489377E-2</v>
      </c>
      <c r="G132" s="10">
        <f t="shared" si="30"/>
        <v>1.6103578215079392E-2</v>
      </c>
      <c r="H132" s="10">
        <f t="shared" si="30"/>
        <v>1.6103578215079392E-2</v>
      </c>
      <c r="I132" s="10">
        <f t="shared" si="30"/>
        <v>4.2517006802721087E-2</v>
      </c>
      <c r="J132" s="10">
        <v>2.1186440677966101E-2</v>
      </c>
      <c r="K132" s="10">
        <v>2.1208907741251323E-2</v>
      </c>
      <c r="L132" s="10">
        <v>1.6103578215079392E-2</v>
      </c>
      <c r="M132" s="10">
        <v>1.6103578215079392E-2</v>
      </c>
    </row>
    <row r="133" spans="1:13" ht="25.5" x14ac:dyDescent="0.2">
      <c r="A133" s="177"/>
      <c r="B133" s="171"/>
      <c r="C133" s="22" t="s">
        <v>378</v>
      </c>
      <c r="D133" s="7">
        <v>14</v>
      </c>
      <c r="E133" s="7">
        <v>5</v>
      </c>
      <c r="F133" s="7">
        <v>1</v>
      </c>
      <c r="G133" s="7">
        <v>1</v>
      </c>
      <c r="H133" s="8">
        <v>1</v>
      </c>
      <c r="I133" s="53">
        <v>2</v>
      </c>
      <c r="J133" s="53">
        <v>1</v>
      </c>
      <c r="K133" s="53">
        <v>1</v>
      </c>
      <c r="L133" s="8">
        <v>1</v>
      </c>
      <c r="M133" s="8">
        <v>1</v>
      </c>
    </row>
    <row r="134" spans="1:13" ht="38.25" x14ac:dyDescent="0.2">
      <c r="A134" s="177"/>
      <c r="B134" s="171"/>
      <c r="C134" s="22" t="s">
        <v>200</v>
      </c>
      <c r="D134" s="7">
        <v>5070</v>
      </c>
      <c r="E134" s="27">
        <f>2388*2.6+4</f>
        <v>6212.8</v>
      </c>
      <c r="F134" s="27">
        <v>6212</v>
      </c>
      <c r="G134" s="27">
        <f>2388*2.6+1</f>
        <v>6209.8</v>
      </c>
      <c r="H134" s="27">
        <f>2388*2.6+1</f>
        <v>6209.8</v>
      </c>
      <c r="I134" s="27">
        <v>4704</v>
      </c>
      <c r="J134" s="27">
        <v>4720</v>
      </c>
      <c r="K134" s="27">
        <v>4715</v>
      </c>
      <c r="L134" s="27">
        <v>6209.8</v>
      </c>
      <c r="M134" s="27">
        <v>6209.8</v>
      </c>
    </row>
    <row r="135" spans="1:13" ht="63.75" x14ac:dyDescent="0.2">
      <c r="A135" s="177" t="s">
        <v>341</v>
      </c>
      <c r="B135" s="171" t="s">
        <v>261</v>
      </c>
      <c r="C135" s="50" t="s">
        <v>201</v>
      </c>
      <c r="D135" s="6">
        <f t="shared" ref="D135:I135" si="31">D136/D137*100</f>
        <v>5.8394160583941606</v>
      </c>
      <c r="E135" s="6">
        <f t="shared" si="31"/>
        <v>7.3529411764705888</v>
      </c>
      <c r="F135" s="6">
        <f t="shared" si="31"/>
        <v>6.25</v>
      </c>
      <c r="G135" s="6">
        <f t="shared" si="31"/>
        <v>5.8441558441558437</v>
      </c>
      <c r="H135" s="6">
        <f t="shared" si="31"/>
        <v>14.482758620689657</v>
      </c>
      <c r="I135" s="6">
        <f t="shared" si="31"/>
        <v>11.111111111111111</v>
      </c>
      <c r="J135" s="6">
        <v>13.138686131386862</v>
      </c>
      <c r="K135" s="6">
        <v>15.126050420168067</v>
      </c>
      <c r="L135" s="6">
        <v>7.7519379844961236</v>
      </c>
      <c r="M135" s="6">
        <v>7.7519379844961236</v>
      </c>
    </row>
    <row r="136" spans="1:13" ht="38.25" x14ac:dyDescent="0.2">
      <c r="A136" s="177"/>
      <c r="B136" s="171"/>
      <c r="C136" s="50" t="s">
        <v>202</v>
      </c>
      <c r="D136" s="7">
        <v>8</v>
      </c>
      <c r="E136" s="3">
        <f>прил_4!J365</f>
        <v>10</v>
      </c>
      <c r="F136" s="3">
        <v>13</v>
      </c>
      <c r="G136" s="3">
        <f>прил_4!L365</f>
        <v>9</v>
      </c>
      <c r="H136" s="3">
        <v>21</v>
      </c>
      <c r="I136" s="3">
        <v>18</v>
      </c>
      <c r="J136" s="3">
        <v>18</v>
      </c>
      <c r="K136" s="3">
        <v>18</v>
      </c>
      <c r="L136" s="3">
        <v>10</v>
      </c>
      <c r="M136" s="3">
        <v>10</v>
      </c>
    </row>
    <row r="137" spans="1:13" ht="38.25" x14ac:dyDescent="0.2">
      <c r="A137" s="177"/>
      <c r="B137" s="171"/>
      <c r="C137" s="50" t="s">
        <v>203</v>
      </c>
      <c r="D137" s="7" t="s">
        <v>204</v>
      </c>
      <c r="E137" s="7">
        <v>136</v>
      </c>
      <c r="F137" s="7">
        <v>208</v>
      </c>
      <c r="G137" s="7">
        <f>163-9</f>
        <v>154</v>
      </c>
      <c r="H137" s="7">
        <v>145</v>
      </c>
      <c r="I137" s="7">
        <v>162</v>
      </c>
      <c r="J137" s="7">
        <v>137</v>
      </c>
      <c r="K137" s="7">
        <v>119</v>
      </c>
      <c r="L137" s="7">
        <v>129</v>
      </c>
      <c r="M137" s="7">
        <v>129</v>
      </c>
    </row>
    <row r="139" spans="1:13" ht="15.75" x14ac:dyDescent="0.25">
      <c r="C139" s="12"/>
    </row>
  </sheetData>
  <mergeCells count="68">
    <mergeCell ref="B97:B99"/>
    <mergeCell ref="B129:B131"/>
    <mergeCell ref="A116:A118"/>
    <mergeCell ref="B116:B118"/>
    <mergeCell ref="A119:A121"/>
    <mergeCell ref="B119:B121"/>
    <mergeCell ref="A106:A108"/>
    <mergeCell ref="A109:A111"/>
    <mergeCell ref="B109:B111"/>
    <mergeCell ref="A112:A114"/>
    <mergeCell ref="A72:A74"/>
    <mergeCell ref="B72:B74"/>
    <mergeCell ref="B80:B82"/>
    <mergeCell ref="B103:B105"/>
    <mergeCell ref="B100:B102"/>
    <mergeCell ref="A75:J75"/>
    <mergeCell ref="A80:A82"/>
    <mergeCell ref="A100:A102"/>
    <mergeCell ref="A96:J96"/>
    <mergeCell ref="A97:A99"/>
    <mergeCell ref="B38:B40"/>
    <mergeCell ref="B41:B46"/>
    <mergeCell ref="A62:J62"/>
    <mergeCell ref="B47:B61"/>
    <mergeCell ref="A47:A61"/>
    <mergeCell ref="A66:A68"/>
    <mergeCell ref="A63:A65"/>
    <mergeCell ref="A41:A46"/>
    <mergeCell ref="N101:N102"/>
    <mergeCell ref="B63:B65"/>
    <mergeCell ref="A76:A79"/>
    <mergeCell ref="B76:B79"/>
    <mergeCell ref="B83:B89"/>
    <mergeCell ref="A90:A95"/>
    <mergeCell ref="B90:B95"/>
    <mergeCell ref="A83:A89"/>
    <mergeCell ref="B69:B71"/>
    <mergeCell ref="A69:A71"/>
    <mergeCell ref="B126:B128"/>
    <mergeCell ref="A132:A134"/>
    <mergeCell ref="B132:B134"/>
    <mergeCell ref="A129:A131"/>
    <mergeCell ref="B22:B34"/>
    <mergeCell ref="A38:A40"/>
    <mergeCell ref="A35:A37"/>
    <mergeCell ref="A115:J115"/>
    <mergeCell ref="A103:A105"/>
    <mergeCell ref="B106:B108"/>
    <mergeCell ref="B19:B21"/>
    <mergeCell ref="A22:A34"/>
    <mergeCell ref="A19:A21"/>
    <mergeCell ref="B35:B37"/>
    <mergeCell ref="A135:A137"/>
    <mergeCell ref="B135:B137"/>
    <mergeCell ref="A122:J122"/>
    <mergeCell ref="A123:A125"/>
    <mergeCell ref="B123:B125"/>
    <mergeCell ref="A126:A128"/>
    <mergeCell ref="B112:B114"/>
    <mergeCell ref="A1:J3"/>
    <mergeCell ref="A11:A13"/>
    <mergeCell ref="B11:B13"/>
    <mergeCell ref="C11:C13"/>
    <mergeCell ref="D11:J11"/>
    <mergeCell ref="B66:B68"/>
    <mergeCell ref="A6:J9"/>
    <mergeCell ref="A16:A18"/>
    <mergeCell ref="B16:B18"/>
  </mergeCells>
  <phoneticPr fontId="4" type="noConversion"/>
  <pageMargins left="0.39370078740157483" right="0.39370078740157483" top="0.78740157480314965" bottom="0.39370078740157483" header="0.51181102362204722" footer="0.51181102362204722"/>
  <pageSetup paperSize="9" scale="97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прил_4</vt:lpstr>
      <vt:lpstr>расчет_показ</vt:lpstr>
      <vt:lpstr>прил_4!Заголовки_для_печати</vt:lpstr>
      <vt:lpstr>расчет_показ!Заголовки_для_печати</vt:lpstr>
      <vt:lpstr>прил_4!Область_печати</vt:lpstr>
      <vt:lpstr>расчет_показ!Область_печати</vt:lpstr>
    </vt:vector>
  </TitlesOfParts>
  <Company>Финансовое управление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Самигулина Светлана Васильевна</cp:lastModifiedBy>
  <cp:lastPrinted>2020-03-03T11:48:58Z</cp:lastPrinted>
  <dcterms:created xsi:type="dcterms:W3CDTF">2013-08-06T09:39:13Z</dcterms:created>
  <dcterms:modified xsi:type="dcterms:W3CDTF">2021-04-12T11:15:44Z</dcterms:modified>
</cp:coreProperties>
</file>